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https://acaciaecon.sharepoint.com/sites/ICASAMTR/Shared Documents/General/Cost models/"/>
    </mc:Choice>
  </mc:AlternateContent>
  <xr:revisionPtr revIDLastSave="13" documentId="13_ncr:1_{237CF8DF-9877-4080-B67E-D6FD2CAA91A3}" xr6:coauthVersionLast="47" xr6:coauthVersionMax="47" xr10:uidLastSave="{7D2417F3-8D0E-44C1-9E2C-E9CAFBA5586A}"/>
  <bookViews>
    <workbookView xWindow="24850" yWindow="-110" windowWidth="19420" windowHeight="10300" tabRatio="917" xr2:uid="{F63D13DB-EAF4-4600-B396-F89D7EBFAD03}"/>
  </bookViews>
  <sheets>
    <sheet name="Summary" sheetId="1" r:id="rId1"/>
    <sheet name="BU-LRIC plan" sheetId="12" r:id="rId2"/>
    <sheet name="1 Volumes" sheetId="6" r:id="rId3"/>
    <sheet name="2 Dimensioning" sheetId="15" r:id="rId4"/>
    <sheet name="3 Network demand" sheetId="35" r:id="rId5"/>
    <sheet name="4 Cost - capital" sheetId="3" r:id="rId6"/>
    <sheet name="5 Cost - opex" sheetId="5" r:id="rId7"/>
    <sheet name="6 - Termination" sheetId="95" r:id="rId8"/>
    <sheet name="Core network details &gt;&gt;&gt;&gt;" sheetId="40" r:id="rId9"/>
    <sheet name="Core costs" sheetId="41" r:id="rId10"/>
    <sheet name="Calibration&gt;&gt;&gt;&gt;" sheetId="89" r:id="rId11"/>
    <sheet name="Assets - HCA" sheetId="91" r:id="rId12"/>
    <sheet name="Revenues, costs" sheetId="92" r:id="rId13"/>
    <sheet name="Volumes details &gt;&gt;&gt;&gt;" sheetId="60" r:id="rId14"/>
    <sheet name="Volume projections" sheetId="87" r:id="rId15"/>
    <sheet name="State of ICT sector" sheetId="86" r:id="rId16"/>
    <sheet name="ITU" sheetId="76" r:id="rId17"/>
    <sheet name="Additional inputs &gt;&gt;&gt;&gt;" sheetId="20" r:id="rId18"/>
    <sheet name="Financial Inputs" sheetId="93" r:id="rId19"/>
    <sheet name="Macroeconomic data" sheetId="8" r:id="rId20"/>
    <sheet name="Lists" sheetId="23" r:id="rId21"/>
    <sheet name="Operator data &gt;&gt;&gt;&gt;&gt;&gt;" sheetId="28" r:id="rId22"/>
    <sheet name="Operator - Confidential" sheetId="22" r:id="rId23"/>
  </sheets>
  <externalReferences>
    <externalReference r:id="rId24"/>
  </externalReferences>
  <definedNames>
    <definedName name="access_sbc_hardware">'2 Dimensioning'!$D$52</definedName>
    <definedName name="access_sbc_software">'2 Dimensioning'!$D$53</definedName>
    <definedName name="as_hardware">'2 Dimensioning'!$D$40</definedName>
    <definedName name="as_software">'2 Dimensioning'!$D$41</definedName>
    <definedName name="bhmins_erlang">'2 Dimensioning'!#REF!</definedName>
    <definedName name="busy_hour_call_attempts">'2 Dimensioning'!$D$138:$W$138</definedName>
    <definedName name="busy_hour_call_attempts_noincoming">'2 Dimensioning'!$Z$138:$AS$138</definedName>
    <definedName name="busy_hour_perc">'2 Dimensioning'!$D$34</definedName>
    <definedName name="capex_price_index">'Core costs'!$D$5:$W$5</definedName>
    <definedName name="capex_price_trend">'Core costs'!$D$4:$W$4</definedName>
    <definedName name="capex_revenues">'6 - Termination'!$E$8:$X$8</definedName>
    <definedName name="capex_tariff">'6 - Termination'!$E$7:$X$7</definedName>
    <definedName name="cdf_hardware">'2 Dimensioning'!$D$42</definedName>
    <definedName name="cdf_software">'2 Dimensioning'!$D$43</definedName>
    <definedName name="core_costs_capex">'4 Cost - capital'!$D$25:$W$25</definedName>
    <definedName name="core_costs_capex_discounted">'4 Cost - capital'!$D$26:$W$26</definedName>
    <definedName name="core_costs_capex_discounted_pv">'4 Cost - capital'!$C$26</definedName>
    <definedName name="core_costs_incoming_only_discounted_pv">'4 Cost - capital'!$AU$26</definedName>
    <definedName name="core_costs_incomingonly">'4 Cost - capital'!$AV$25:$BO$25</definedName>
    <definedName name="core_costs_noincoming">'4 Cost - capital'!$Z$25:$AS$25</definedName>
    <definedName name="core_costs_opex">'5 Cost - opex'!$D$26:$W$26</definedName>
    <definedName name="core_costs_opex_discounted">'5 Cost - opex'!$D$27:$W$27</definedName>
    <definedName name="core_costs_opex_discounted_pv">'5 Cost - opex'!$C$27</definedName>
    <definedName name="core_costs_opex_incoming_only">'5 Cost - opex'!$AV$26:$BO$26</definedName>
    <definedName name="core_costs_opex_incomingonly_discounted_pv">'5 Cost - opex'!$AU$27</definedName>
    <definedName name="core_costs_opex_noincoming">'5 Cost - opex'!$Z$26:$AS$26</definedName>
    <definedName name="core_elements">'3 Network demand'!$A$16:$A$31</definedName>
    <definedName name="core_increm_capex">'3 Network demand'!$D$43:$W$58</definedName>
    <definedName name="core_increm_incoming_only_capex">'3 Network demand'!$AV$43:$BO$58</definedName>
    <definedName name="core_increm_noincoming_capex">'3 Network demand'!$Z$43:$AS$58</definedName>
    <definedName name="core_number_incoming_only_opex">'3 Network demand'!$AV$110:$BO$125</definedName>
    <definedName name="core_number_noincoming_voice_opex">'3 Network demand'!$Z$110:$AS$125</definedName>
    <definedName name="core_number_opex">'3 Network demand'!$D$110:$W$125</definedName>
    <definedName name="core_unit_opex">'Core costs'!$K$41:$S$52</definedName>
    <definedName name="currency_scenario">Lists!$A$12:$A$14</definedName>
    <definedName name="debt_perc">'Financial Inputs'!$B$3</definedName>
    <definedName name="Depreciation_straightline">'Assets - HCA'!$C$11:$V$11</definedName>
    <definedName name="fixed_calls_per_hour">'2 Dimensioning'!$D$111:$W$111</definedName>
    <definedName name="fixed_calls_per_hour_noincoming">'2 Dimensioning'!$Z$111:$AS$111</definedName>
    <definedName name="fixed_calls_per_hour_onnet_factor">'2 Dimensioning'!$D$124:$W$124</definedName>
    <definedName name="fixed_calls_per_hour_onnet_factor_noincoming">'2 Dimensioning'!$Z$124:$AS$124</definedName>
    <definedName name="fixed_calls_persecond">'2 Dimensioning'!$D$153:$W$153</definedName>
    <definedName name="fixed_calls_persecond_noincoming">'2 Dimensioning'!$Z$153:$AS$153</definedName>
    <definedName name="fixed_calls_persecond_onnet_factor">'2 Dimensioning'!$D$165:$W$165</definedName>
    <definedName name="fixed_calls_persecond_onnet_factor_noincoming">'2 Dimensioning'!$Z$165:$AS$165</definedName>
    <definedName name="fixed_calls_service">'2 Dimensioning'!$D$103:$W$109</definedName>
    <definedName name="fixed_calls_service_onnet_factor">'2 Dimensioning'!$D$116:$W$122</definedName>
    <definedName name="fixed_minutes">'2 Dimensioning'!$D$65:$W$71</definedName>
    <definedName name="fixed_minutes_busy_hour">'2 Dimensioning'!$D$79:$W$85</definedName>
    <definedName name="fixed_minutes_busy_hour_onnet_factor">'2 Dimensioning'!$D$90:$W$96</definedName>
    <definedName name="fixed_minutes_incoming">'2 Dimensioning'!$D$170:$W$170</definedName>
    <definedName name="fixed_services">'2 Dimensioning'!$A$65:$A$71</definedName>
    <definedName name="growth_scenarios">Lists!$A$4:$A$6</definedName>
    <definedName name="idle_time">'2 Dimensioning'!$D$24</definedName>
    <definedName name="inflation">'Financial Inputs'!$D$11:$W$11</definedName>
    <definedName name="interr_cscf_hardware">'2 Dimensioning'!$D$46</definedName>
    <definedName name="interr_cscf_software">'2 Dimensioning'!$D$47</definedName>
    <definedName name="ix_sbc_hardware">'2 Dimensioning'!$D$54</definedName>
    <definedName name="ix_sbc_software">'2 Dimensioning'!$D$55</definedName>
    <definedName name="lric_revenues">'Revenues, costs'!$B$6:$U$6</definedName>
    <definedName name="max_load">'3 Network demand'!$C$5</definedName>
    <definedName name="mins_call">'2 Dimensioning'!$D$23</definedName>
    <definedName name="mins_hour">'2 Dimensioning'!$D$11</definedName>
    <definedName name="mrf_hardware">'2 Dimensioning'!$D$50</definedName>
    <definedName name="mrf_software">'2 Dimensioning'!$D$51</definedName>
    <definedName name="non_homo_fixed">'2 Dimensioning'!$D$36</definedName>
    <definedName name="onnet_factor">'2 Dimensioning'!$D$17</definedName>
    <definedName name="opex_factor_index">'Core costs'!$D$11:$W$11</definedName>
    <definedName name="opex_price_index">'Core costs'!$D$8:$W$8</definedName>
    <definedName name="opex_revenues">'6 - Termination'!$E$20:$X$20</definedName>
    <definedName name="opex_tariff">'6 - Termination'!$E$19:$X$19</definedName>
    <definedName name="proxy_cscf_hardware">'2 Dimensioning'!$D$44</definedName>
    <definedName name="proxy_cscf_software">'2 Dimensioning'!$D$45</definedName>
    <definedName name="pure_lric">'6 - Termination'!$E$29:$X$29</definedName>
    <definedName name="pv_capex_volumes">'6 - Termination'!$D$14</definedName>
    <definedName name="pv_opex_volumes">'6 - Termination'!$D$26</definedName>
    <definedName name="pv_volumes_capex">'6 - Termination'!#REF!</definedName>
    <definedName name="redundancy">'3 Network demand'!$C$6</definedName>
    <definedName name="sec_minute">'2 Dimensioning'!$D$10</definedName>
    <definedName name="serve_cscf_hardware">'2 Dimensioning'!$D$48</definedName>
    <definedName name="serve_cscf_software">'2 Dimensioning'!$D$49</definedName>
    <definedName name="share_operator">Summary!$B$24</definedName>
    <definedName name="time_index">'3 Network demand'!$D$41:$W$41</definedName>
    <definedName name="total_costs_core_capex">'Core costs'!$D$35:$W$35</definedName>
    <definedName name="total_costs_core_opex">'Core costs'!$D$58:$W$58</definedName>
    <definedName name="total_volumes_discounted">'6 - Termination'!#REF!</definedName>
    <definedName name="unit_costs_core_capex">'Core costs'!$D$18:$W$33</definedName>
    <definedName name="unit_costs_core_opex">'Core costs'!$D$41:$W$56</definedName>
    <definedName name="unsuccessful_calls_perc">'2 Dimensioning'!$D$22</definedName>
    <definedName name="volume_ed_capex">'6 - Termination'!$E$13:$X$13</definedName>
    <definedName name="volume_ed_opex">'6 - Termination'!$E$25:$X$25</definedName>
    <definedName name="wacc_index">'Financial Inputs'!$D$23:$W$23</definedName>
    <definedName name="wacc_nom_pretax">'Financial Inputs'!$D$22:$W$22</definedName>
    <definedName name="years">Summary!$B$29:$U$29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15" l="1"/>
  <c r="F4" i="41" l="1"/>
  <c r="G4" i="41"/>
  <c r="H4" i="41"/>
  <c r="I4" i="41"/>
  <c r="J4" i="41"/>
  <c r="K4" i="41"/>
  <c r="L4" i="41"/>
  <c r="M4" i="41"/>
  <c r="N4" i="41"/>
  <c r="O4" i="41"/>
  <c r="P4" i="41"/>
  <c r="Q4" i="41"/>
  <c r="R4" i="41"/>
  <c r="S4" i="41"/>
  <c r="T4" i="41"/>
  <c r="U4" i="41"/>
  <c r="V4" i="41"/>
  <c r="W4" i="41"/>
  <c r="E4" i="41"/>
  <c r="B4" i="87"/>
  <c r="B6" i="87"/>
  <c r="B5" i="87"/>
  <c r="I7" i="76"/>
  <c r="I8" i="76"/>
  <c r="I9" i="76"/>
  <c r="I10" i="76"/>
  <c r="I11" i="76"/>
  <c r="I6" i="76"/>
  <c r="C10" i="93"/>
  <c r="J10" i="93"/>
  <c r="K10" i="93"/>
  <c r="L10" i="93"/>
  <c r="M10" i="93"/>
  <c r="N10" i="93"/>
  <c r="O10" i="93"/>
  <c r="P10" i="93"/>
  <c r="Q10" i="93"/>
  <c r="R10" i="93"/>
  <c r="S10" i="93"/>
  <c r="T10" i="93"/>
  <c r="U10" i="93"/>
  <c r="V10" i="93"/>
  <c r="W10" i="93"/>
  <c r="F10" i="93"/>
  <c r="G10" i="93"/>
  <c r="H10" i="93"/>
  <c r="I10" i="93"/>
  <c r="E10" i="93"/>
  <c r="D35" i="41" l="1"/>
  <c r="D9" i="93"/>
  <c r="D11" i="93"/>
  <c r="J5" i="8"/>
  <c r="E65" i="35"/>
  <c r="E38" i="95" a="1"/>
  <c r="E38" i="95" s="1"/>
  <c r="E28" i="95" a="1"/>
  <c r="E28" i="95" s="1"/>
  <c r="F65" i="35"/>
  <c r="G65" i="35"/>
  <c r="H65" i="35"/>
  <c r="I65" i="35"/>
  <c r="J65" i="35"/>
  <c r="F66" i="35"/>
  <c r="G66" i="35"/>
  <c r="H66" i="35"/>
  <c r="I66" i="35"/>
  <c r="J66" i="35"/>
  <c r="F67" i="35"/>
  <c r="G67" i="35"/>
  <c r="H67" i="35"/>
  <c r="I67" i="35"/>
  <c r="J67" i="35"/>
  <c r="F68" i="35"/>
  <c r="G68" i="35"/>
  <c r="H68" i="35"/>
  <c r="I68" i="35"/>
  <c r="J68" i="35"/>
  <c r="F69" i="35"/>
  <c r="G69" i="35"/>
  <c r="H69" i="35"/>
  <c r="I69" i="35"/>
  <c r="J69" i="35"/>
  <c r="F70" i="35"/>
  <c r="G70" i="35"/>
  <c r="H70" i="35"/>
  <c r="I70" i="35"/>
  <c r="J70" i="35"/>
  <c r="F71" i="35"/>
  <c r="G71" i="35"/>
  <c r="H71" i="35"/>
  <c r="I71" i="35"/>
  <c r="J71" i="35"/>
  <c r="F72" i="35"/>
  <c r="G72" i="35"/>
  <c r="H72" i="35"/>
  <c r="I72" i="35"/>
  <c r="J72" i="35"/>
  <c r="F73" i="35"/>
  <c r="G73" i="35"/>
  <c r="H73" i="35"/>
  <c r="I73" i="35"/>
  <c r="J73" i="35"/>
  <c r="F74" i="35"/>
  <c r="G74" i="35"/>
  <c r="H74" i="35"/>
  <c r="I74" i="35"/>
  <c r="J74" i="35"/>
  <c r="F75" i="35"/>
  <c r="G75" i="35"/>
  <c r="H75" i="35"/>
  <c r="I75" i="35"/>
  <c r="J75" i="35"/>
  <c r="F76" i="35"/>
  <c r="G76" i="35"/>
  <c r="H76" i="35"/>
  <c r="I76" i="35"/>
  <c r="J76" i="35"/>
  <c r="F77" i="35"/>
  <c r="G77" i="35"/>
  <c r="H77" i="35"/>
  <c r="I77" i="35"/>
  <c r="J77" i="35"/>
  <c r="F78" i="35"/>
  <c r="G78" i="35"/>
  <c r="H78" i="35"/>
  <c r="I78" i="35"/>
  <c r="J78" i="35"/>
  <c r="F79" i="35"/>
  <c r="G79" i="35"/>
  <c r="H79" i="35"/>
  <c r="I79" i="35"/>
  <c r="J79" i="35"/>
  <c r="F80" i="35"/>
  <c r="G80" i="35"/>
  <c r="H80" i="35"/>
  <c r="I80" i="35"/>
  <c r="J80" i="35"/>
  <c r="E66" i="35"/>
  <c r="E67" i="35"/>
  <c r="E68" i="35"/>
  <c r="E69" i="35"/>
  <c r="E70" i="35"/>
  <c r="E71" i="35"/>
  <c r="E72" i="35"/>
  <c r="E73" i="35"/>
  <c r="E74" i="35"/>
  <c r="E75" i="35"/>
  <c r="E76" i="35"/>
  <c r="E77" i="35"/>
  <c r="E78" i="35"/>
  <c r="E79" i="35"/>
  <c r="E80" i="35"/>
  <c r="E17" i="95" a="1"/>
  <c r="E17" i="95" s="1"/>
  <c r="E5" i="95" a="1"/>
  <c r="E5" i="95" s="1"/>
  <c r="E5" i="41"/>
  <c r="E22" i="41" s="1"/>
  <c r="W18" i="93"/>
  <c r="V18" i="93"/>
  <c r="U18" i="93"/>
  <c r="T18" i="93"/>
  <c r="S18" i="93"/>
  <c r="S20" i="93" s="1"/>
  <c r="S22" i="93" s="1"/>
  <c r="S21" i="93" s="1"/>
  <c r="R18" i="93"/>
  <c r="R20" i="93" s="1"/>
  <c r="R22" i="93" s="1"/>
  <c r="R21" i="93" s="1"/>
  <c r="Q18" i="93"/>
  <c r="P18" i="93"/>
  <c r="O18" i="93"/>
  <c r="N18" i="93"/>
  <c r="M18" i="93"/>
  <c r="L18" i="93"/>
  <c r="L20" i="93" s="1"/>
  <c r="L22" i="93" s="1"/>
  <c r="L21" i="93" s="1"/>
  <c r="K18" i="93"/>
  <c r="J18" i="93"/>
  <c r="J20" i="93" s="1"/>
  <c r="J22" i="93" s="1"/>
  <c r="J21" i="93" s="1"/>
  <c r="I18" i="93"/>
  <c r="H18" i="93"/>
  <c r="G18" i="93"/>
  <c r="F18" i="93"/>
  <c r="E18" i="93"/>
  <c r="D18" i="93"/>
  <c r="W16" i="93"/>
  <c r="W19" i="93" s="1"/>
  <c r="W20" i="93" s="1"/>
  <c r="W22" i="93" s="1"/>
  <c r="W21" i="93" s="1"/>
  <c r="V16" i="93"/>
  <c r="V19" i="93" s="1"/>
  <c r="V20" i="93" s="1"/>
  <c r="V22" i="93" s="1"/>
  <c r="V21" i="93" s="1"/>
  <c r="U16" i="93"/>
  <c r="U19" i="93" s="1"/>
  <c r="T16" i="93"/>
  <c r="T19" i="93" s="1"/>
  <c r="S16" i="93"/>
  <c r="S19" i="93" s="1"/>
  <c r="R16" i="93"/>
  <c r="R19" i="93" s="1"/>
  <c r="Q16" i="93"/>
  <c r="Q19" i="93" s="1"/>
  <c r="P16" i="93"/>
  <c r="P19" i="93" s="1"/>
  <c r="O16" i="93"/>
  <c r="O19" i="93" s="1"/>
  <c r="N16" i="93"/>
  <c r="N19" i="93" s="1"/>
  <c r="N20" i="93" s="1"/>
  <c r="N22" i="93" s="1"/>
  <c r="N21" i="93" s="1"/>
  <c r="M16" i="93"/>
  <c r="M19" i="93" s="1"/>
  <c r="L16" i="93"/>
  <c r="L19" i="93" s="1"/>
  <c r="K16" i="93"/>
  <c r="K19" i="93" s="1"/>
  <c r="J16" i="93"/>
  <c r="J19" i="93" s="1"/>
  <c r="I16" i="93"/>
  <c r="I19" i="93" s="1"/>
  <c r="H16" i="93"/>
  <c r="H19" i="93" s="1"/>
  <c r="G16" i="93"/>
  <c r="G19" i="93" s="1"/>
  <c r="G20" i="93" s="1"/>
  <c r="G22" i="93" s="1"/>
  <c r="G21" i="93" s="1"/>
  <c r="F16" i="93"/>
  <c r="F19" i="93" s="1"/>
  <c r="E16" i="93"/>
  <c r="E19" i="93" s="1"/>
  <c r="D16" i="93"/>
  <c r="D19" i="93" s="1"/>
  <c r="W11" i="93"/>
  <c r="V11" i="93"/>
  <c r="U11" i="93"/>
  <c r="T11" i="93"/>
  <c r="S11" i="93"/>
  <c r="R11" i="93"/>
  <c r="Q11" i="93"/>
  <c r="P11" i="93"/>
  <c r="O11" i="93"/>
  <c r="N11" i="93"/>
  <c r="M11" i="93"/>
  <c r="L11" i="93"/>
  <c r="K11" i="93"/>
  <c r="J11" i="93"/>
  <c r="I11" i="93"/>
  <c r="H11" i="93"/>
  <c r="G11" i="93"/>
  <c r="F11" i="93"/>
  <c r="E11" i="93"/>
  <c r="D6" i="93" a="1"/>
  <c r="D6" i="93" s="1"/>
  <c r="H20" i="93"/>
  <c r="H22" i="93" s="1"/>
  <c r="H21" i="93" s="1"/>
  <c r="T20" i="93"/>
  <c r="T22" i="93" s="1"/>
  <c r="T21" i="93" s="1"/>
  <c r="E20" i="93"/>
  <c r="E22" i="93" s="1"/>
  <c r="E21" i="93" s="1"/>
  <c r="I20" i="93"/>
  <c r="I22" i="93" s="1"/>
  <c r="I21" i="93" s="1"/>
  <c r="M20" i="93"/>
  <c r="M22" i="93" s="1"/>
  <c r="M21" i="93" s="1"/>
  <c r="Q20" i="93"/>
  <c r="Q22" i="93" s="1"/>
  <c r="Q21" i="93" s="1"/>
  <c r="U20" i="93"/>
  <c r="U22" i="93" s="1"/>
  <c r="U21" i="93" s="1"/>
  <c r="D20" i="93"/>
  <c r="D22" i="93" s="1"/>
  <c r="D23" i="93" s="1"/>
  <c r="E23" i="93" s="1"/>
  <c r="F23" i="93" s="1"/>
  <c r="P20" i="93"/>
  <c r="P22" i="93" s="1"/>
  <c r="P21" i="93" s="1"/>
  <c r="F20" i="93"/>
  <c r="F22" i="93" s="1"/>
  <c r="F21" i="93" s="1"/>
  <c r="K20" i="93"/>
  <c r="K22" i="93" s="1"/>
  <c r="K21" i="93" s="1"/>
  <c r="O20" i="93"/>
  <c r="O22" i="93" s="1"/>
  <c r="O21" i="93" s="1"/>
  <c r="H5" i="8"/>
  <c r="AV8" i="5" a="1"/>
  <c r="AV8" i="5" s="1"/>
  <c r="AV7" i="5" a="1"/>
  <c r="AV7" i="5" s="1"/>
  <c r="AV7" i="3" a="1"/>
  <c r="AV7" i="3" s="1"/>
  <c r="AV42" i="35" a="1"/>
  <c r="AV42" i="35" s="1"/>
  <c r="AV41" i="35" a="1"/>
  <c r="AV41" i="35" s="1"/>
  <c r="AV109" i="35" a="1"/>
  <c r="AV109" i="35" s="1"/>
  <c r="AV108" i="35" a="1"/>
  <c r="AV108" i="35" s="1"/>
  <c r="D30" i="15"/>
  <c r="D34" i="15" s="1"/>
  <c r="A110" i="35" a="1"/>
  <c r="A110" i="35" s="1"/>
  <c r="Z109" i="35" a="1"/>
  <c r="Z109" i="35" s="1"/>
  <c r="D109" i="35" a="1"/>
  <c r="D109" i="35" s="1"/>
  <c r="Z108" i="35" a="1"/>
  <c r="Z108" i="35" s="1"/>
  <c r="A65" i="35" a="1"/>
  <c r="A65" i="35" s="1"/>
  <c r="Z64" i="35" a="1"/>
  <c r="Z64" i="35" s="1"/>
  <c r="D64" i="35" a="1"/>
  <c r="D64" i="35" s="1"/>
  <c r="Z63" i="35" a="1"/>
  <c r="Z63" i="35" s="1"/>
  <c r="A87" i="35" a="1"/>
  <c r="A87" i="35" s="1"/>
  <c r="Z86" i="35" a="1"/>
  <c r="Z86" i="35" s="1"/>
  <c r="D86" i="35" a="1"/>
  <c r="D86" i="35" s="1"/>
  <c r="AE65" i="35"/>
  <c r="AD66" i="35"/>
  <c r="AB68" i="35"/>
  <c r="AF68" i="35"/>
  <c r="AB72" i="35"/>
  <c r="AF72" i="35"/>
  <c r="AD74" i="35"/>
  <c r="AC75" i="35"/>
  <c r="AD78" i="35"/>
  <c r="AC79" i="35"/>
  <c r="AF80" i="35"/>
  <c r="AA69" i="35"/>
  <c r="AA73" i="35"/>
  <c r="AC80" i="35"/>
  <c r="AA66" i="35"/>
  <c r="AA74" i="35"/>
  <c r="AA78" i="35"/>
  <c r="AB65" i="35"/>
  <c r="AD67" i="35"/>
  <c r="AC68" i="35"/>
  <c r="AF69" i="35"/>
  <c r="AE70" i="35"/>
  <c r="AD71" i="35"/>
  <c r="AF73" i="35"/>
  <c r="AE74" i="35"/>
  <c r="AC76" i="35"/>
  <c r="AB77" i="35"/>
  <c r="AF77" i="35"/>
  <c r="AC65" i="35"/>
  <c r="AB66" i="35"/>
  <c r="AE67" i="35"/>
  <c r="AD68" i="35"/>
  <c r="AC69" i="35"/>
  <c r="AE71" i="35"/>
  <c r="AD72" i="35"/>
  <c r="AB74" i="35"/>
  <c r="AF74" i="35"/>
  <c r="AE75" i="35"/>
  <c r="AD76" i="35"/>
  <c r="AC77" i="35"/>
  <c r="AB78" i="35"/>
  <c r="AF78" i="35"/>
  <c r="AE79" i="35"/>
  <c r="AD80" i="35"/>
  <c r="AA67" i="35"/>
  <c r="AA71" i="35"/>
  <c r="AA75" i="35"/>
  <c r="AA79" i="35"/>
  <c r="AD65" i="35"/>
  <c r="AC66" i="35"/>
  <c r="AB67" i="35"/>
  <c r="AF67" i="35"/>
  <c r="AE68" i="35"/>
  <c r="AD69" i="35"/>
  <c r="AC70" i="35"/>
  <c r="AB71" i="35"/>
  <c r="AF71" i="35"/>
  <c r="AE72" i="35"/>
  <c r="AD73" i="35"/>
  <c r="AC74" i="35"/>
  <c r="AB75" i="35"/>
  <c r="AF75" i="35"/>
  <c r="AE76" i="35"/>
  <c r="AD77" i="35"/>
  <c r="AC78" i="35"/>
  <c r="AB79" i="35"/>
  <c r="AF79" i="35"/>
  <c r="AE80" i="35"/>
  <c r="AA68" i="35"/>
  <c r="AA72" i="35"/>
  <c r="AA76" i="35"/>
  <c r="AA80" i="35"/>
  <c r="AA5" i="8"/>
  <c r="Z5" i="8"/>
  <c r="Y5" i="8"/>
  <c r="X5" i="8"/>
  <c r="W5" i="8"/>
  <c r="V5" i="8"/>
  <c r="U5" i="8"/>
  <c r="T5" i="8"/>
  <c r="S5" i="8"/>
  <c r="R5" i="8"/>
  <c r="Q5" i="8"/>
  <c r="P5" i="8"/>
  <c r="O5" i="8"/>
  <c r="N5" i="8"/>
  <c r="M5" i="8"/>
  <c r="L5" i="8"/>
  <c r="K5" i="8"/>
  <c r="I5" i="8"/>
  <c r="B54" i="87" a="1"/>
  <c r="B54" i="87" s="1"/>
  <c r="B7" i="91"/>
  <c r="A6" i="91"/>
  <c r="C5" i="91" a="1"/>
  <c r="C5" i="91" s="1"/>
  <c r="A15" i="92"/>
  <c r="B14" i="92" a="1"/>
  <c r="B14" i="92" s="1"/>
  <c r="B5" i="92" a="1"/>
  <c r="B5" i="92" s="1"/>
  <c r="A19" i="6"/>
  <c r="A67" i="15" s="1"/>
  <c r="B19" i="87" a="1"/>
  <c r="B33" i="87" a="1"/>
  <c r="H28" i="6" s="1"/>
  <c r="B40" i="87" a="1"/>
  <c r="B40" i="87" s="1"/>
  <c r="B35" i="6" s="1"/>
  <c r="B47" i="87" a="1"/>
  <c r="B47" i="87" s="1"/>
  <c r="B41" i="6" s="1"/>
  <c r="B47" i="6"/>
  <c r="M28" i="6"/>
  <c r="C14" i="6"/>
  <c r="D14" i="6"/>
  <c r="E14" i="6"/>
  <c r="F14" i="6"/>
  <c r="G14" i="6"/>
  <c r="H14" i="6"/>
  <c r="I14" i="6"/>
  <c r="J14" i="6"/>
  <c r="K14" i="6"/>
  <c r="L14" i="6"/>
  <c r="M14" i="6"/>
  <c r="N14" i="6"/>
  <c r="O14" i="6"/>
  <c r="P14" i="6"/>
  <c r="B19" i="87"/>
  <c r="E26" i="87"/>
  <c r="E21" i="6" s="1"/>
  <c r="M26" i="87"/>
  <c r="M21" i="6" s="1"/>
  <c r="U26" i="87"/>
  <c r="U21" i="6" s="1"/>
  <c r="T26" i="87"/>
  <c r="T21" i="6" s="1"/>
  <c r="F26" i="87"/>
  <c r="F21" i="6" s="1"/>
  <c r="N26" i="87"/>
  <c r="N21" i="6" s="1"/>
  <c r="G26" i="87"/>
  <c r="G21" i="6" s="1"/>
  <c r="O26" i="87"/>
  <c r="O21" i="6" s="1"/>
  <c r="Q26" i="87"/>
  <c r="Q21" i="6" s="1"/>
  <c r="J26" i="87"/>
  <c r="J21" i="6" s="1"/>
  <c r="H26" i="87"/>
  <c r="H21" i="6" s="1"/>
  <c r="P26" i="87"/>
  <c r="P21" i="6" s="1"/>
  <c r="R26" i="87"/>
  <c r="R21" i="6" s="1"/>
  <c r="I26" i="87"/>
  <c r="I21" i="6" s="1"/>
  <c r="D26" i="87"/>
  <c r="D21" i="6" s="1"/>
  <c r="C26" i="87"/>
  <c r="C21" i="6" s="1"/>
  <c r="K26" i="87"/>
  <c r="K21" i="6" s="1"/>
  <c r="S26" i="87"/>
  <c r="S21" i="6" s="1"/>
  <c r="L26" i="87"/>
  <c r="L21" i="6" s="1"/>
  <c r="F28" i="6"/>
  <c r="L28" i="6"/>
  <c r="D28" i="6"/>
  <c r="I28" i="6"/>
  <c r="N28" i="6"/>
  <c r="N47" i="6"/>
  <c r="M47" i="6"/>
  <c r="J47" i="6"/>
  <c r="I47" i="6"/>
  <c r="P47" i="6"/>
  <c r="L47" i="6"/>
  <c r="H47" i="6"/>
  <c r="O47" i="6"/>
  <c r="K47" i="6"/>
  <c r="G47" i="6"/>
  <c r="E28" i="6"/>
  <c r="J28" i="6"/>
  <c r="P28" i="6"/>
  <c r="B33" i="87"/>
  <c r="B28" i="6" s="1"/>
  <c r="T28" i="6"/>
  <c r="R28" i="6"/>
  <c r="S14" i="6"/>
  <c r="Q28" i="6"/>
  <c r="T47" i="6"/>
  <c r="R14" i="6"/>
  <c r="U28" i="6"/>
  <c r="S47" i="6"/>
  <c r="T14" i="6"/>
  <c r="U47" i="6"/>
  <c r="Q47" i="6"/>
  <c r="U14" i="6"/>
  <c r="Q14" i="6"/>
  <c r="R47" i="6"/>
  <c r="S28" i="6"/>
  <c r="O28" i="6"/>
  <c r="K28" i="6"/>
  <c r="G28" i="6"/>
  <c r="C28" i="6"/>
  <c r="K35" i="6"/>
  <c r="F47" i="6"/>
  <c r="C35" i="6"/>
  <c r="E47" i="6"/>
  <c r="S35" i="6"/>
  <c r="R35" i="6"/>
  <c r="J35" i="6"/>
  <c r="R41" i="6"/>
  <c r="O35" i="6"/>
  <c r="G35" i="6"/>
  <c r="N41" i="6"/>
  <c r="D47" i="6"/>
  <c r="F41" i="6"/>
  <c r="N35" i="6"/>
  <c r="F35" i="6"/>
  <c r="J41" i="6"/>
  <c r="U35" i="6"/>
  <c r="Q35" i="6"/>
  <c r="M35" i="6"/>
  <c r="I35" i="6"/>
  <c r="E35" i="6"/>
  <c r="T41" i="6"/>
  <c r="P41" i="6"/>
  <c r="L41" i="6"/>
  <c r="H41" i="6"/>
  <c r="D41" i="6"/>
  <c r="C47" i="6"/>
  <c r="U41" i="6"/>
  <c r="Q41" i="6"/>
  <c r="M41" i="6"/>
  <c r="I41" i="6"/>
  <c r="E41" i="6"/>
  <c r="T35" i="6"/>
  <c r="P35" i="6"/>
  <c r="L35" i="6"/>
  <c r="H35" i="6"/>
  <c r="D35" i="6"/>
  <c r="S41" i="6"/>
  <c r="O41" i="6"/>
  <c r="K41" i="6"/>
  <c r="G41" i="6"/>
  <c r="C41" i="6"/>
  <c r="B14" i="6"/>
  <c r="B26" i="87"/>
  <c r="B21" i="6" s="1"/>
  <c r="B39" i="8" a="1"/>
  <c r="B39" i="8" s="1"/>
  <c r="B33" i="8" a="1"/>
  <c r="B33" i="8" s="1"/>
  <c r="B28" i="8" a="1"/>
  <c r="B28" i="8" s="1"/>
  <c r="D89" i="15" a="1"/>
  <c r="D89" i="15" s="1"/>
  <c r="Z144" i="15" a="1"/>
  <c r="Z144" i="15" s="1"/>
  <c r="D144" i="15" a="1"/>
  <c r="D144" i="15" s="1"/>
  <c r="E11" i="76"/>
  <c r="C43" i="87" s="1"/>
  <c r="C38" i="6" s="1"/>
  <c r="E10" i="76"/>
  <c r="E9" i="76"/>
  <c r="C57" i="87" s="1"/>
  <c r="C50" i="6" s="1"/>
  <c r="E8" i="76"/>
  <c r="C50" i="87" s="1"/>
  <c r="C44" i="6" s="1"/>
  <c r="E7" i="76"/>
  <c r="C35" i="87" s="1"/>
  <c r="C30" i="6" s="1"/>
  <c r="E68" i="15" s="1"/>
  <c r="E6" i="76"/>
  <c r="C15" i="87" s="1"/>
  <c r="C10" i="6" s="1"/>
  <c r="Z115" i="15" a="1"/>
  <c r="Z115" i="15" s="1"/>
  <c r="D115" i="15" a="1"/>
  <c r="D115" i="15" s="1"/>
  <c r="D11" i="76"/>
  <c r="B43" i="87" s="1"/>
  <c r="B38" i="6" s="1"/>
  <c r="F11" i="76"/>
  <c r="D43" i="87" s="1"/>
  <c r="D38" i="6" s="1"/>
  <c r="G11" i="76"/>
  <c r="E42" i="87" s="1"/>
  <c r="W8" i="93"/>
  <c r="S8" i="93"/>
  <c r="O8" i="93"/>
  <c r="K8" i="93"/>
  <c r="G8" i="93"/>
  <c r="P8" i="93"/>
  <c r="H8" i="93"/>
  <c r="V8" i="93"/>
  <c r="R8" i="93"/>
  <c r="N8" i="93"/>
  <c r="J8" i="93"/>
  <c r="F8" i="93"/>
  <c r="L8" i="93"/>
  <c r="D8" i="93"/>
  <c r="U8" i="93"/>
  <c r="Q8" i="93"/>
  <c r="M8" i="93"/>
  <c r="I8" i="93"/>
  <c r="E8" i="93"/>
  <c r="T8" i="93"/>
  <c r="W9" i="93"/>
  <c r="S9" i="93"/>
  <c r="O9" i="93"/>
  <c r="K9" i="93"/>
  <c r="G9" i="93"/>
  <c r="P9" i="93"/>
  <c r="H9" i="93"/>
  <c r="V9" i="93"/>
  <c r="R9" i="93"/>
  <c r="N9" i="93"/>
  <c r="J9" i="93"/>
  <c r="F9" i="93"/>
  <c r="L9" i="93"/>
  <c r="U9" i="93"/>
  <c r="Q9" i="93"/>
  <c r="M9" i="93"/>
  <c r="I9" i="93"/>
  <c r="E9" i="93"/>
  <c r="T9" i="93"/>
  <c r="W7" i="93"/>
  <c r="S7" i="93"/>
  <c r="O7" i="93"/>
  <c r="K7" i="93"/>
  <c r="G7" i="93"/>
  <c r="E7" i="93"/>
  <c r="P7" i="93"/>
  <c r="H7" i="93"/>
  <c r="V7" i="93"/>
  <c r="R7" i="93"/>
  <c r="N7" i="93"/>
  <c r="J7" i="93"/>
  <c r="F7" i="93"/>
  <c r="I7" i="93"/>
  <c r="L7" i="93"/>
  <c r="U7" i="93"/>
  <c r="Q7" i="93"/>
  <c r="M7" i="93"/>
  <c r="T7" i="93"/>
  <c r="D7" i="93"/>
  <c r="B41" i="87"/>
  <c r="B36" i="6" s="1"/>
  <c r="B42" i="87"/>
  <c r="B37" i="6" s="1"/>
  <c r="C36" i="87"/>
  <c r="C31" i="6" s="1"/>
  <c r="C42" i="87"/>
  <c r="C37" i="6" s="1"/>
  <c r="E69" i="15" s="1"/>
  <c r="E43" i="87"/>
  <c r="F43" i="87" s="1"/>
  <c r="C14" i="87"/>
  <c r="C9" i="6" s="1"/>
  <c r="D10" i="76"/>
  <c r="D9" i="76"/>
  <c r="D8" i="76"/>
  <c r="B49" i="87" s="1"/>
  <c r="B43" i="6" s="1"/>
  <c r="D70" i="15" s="1"/>
  <c r="D7" i="76"/>
  <c r="B36" i="87" s="1"/>
  <c r="B31" i="6" s="1"/>
  <c r="Z156" i="15" a="1"/>
  <c r="Z156" i="15" s="1"/>
  <c r="Z129" i="15" a="1"/>
  <c r="Z129" i="15" s="1"/>
  <c r="Z102" i="15" a="1"/>
  <c r="Z102" i="15" s="1"/>
  <c r="G10" i="76"/>
  <c r="G9" i="76"/>
  <c r="E56" i="87" s="1"/>
  <c r="G8" i="76"/>
  <c r="G7" i="76"/>
  <c r="E36" i="87" s="1"/>
  <c r="G6" i="76"/>
  <c r="E13" i="87" s="1"/>
  <c r="F10" i="76"/>
  <c r="F9" i="76"/>
  <c r="D57" i="87" s="1"/>
  <c r="D50" i="6" s="1"/>
  <c r="F8" i="76"/>
  <c r="D50" i="87" s="1"/>
  <c r="D44" i="6" s="1"/>
  <c r="F6" i="76"/>
  <c r="D22" i="87" s="1"/>
  <c r="D6" i="76"/>
  <c r="B15" i="87" s="1"/>
  <c r="B10" i="6" s="1"/>
  <c r="F7" i="76"/>
  <c r="D35" i="87" s="1"/>
  <c r="D30" i="6" s="1"/>
  <c r="F68" i="15" s="1"/>
  <c r="B26" i="35"/>
  <c r="B27" i="35"/>
  <c r="D3" i="41" a="1"/>
  <c r="D3" i="41" s="1"/>
  <c r="E38" i="6"/>
  <c r="D20" i="87"/>
  <c r="D15" i="6" s="1"/>
  <c r="D13" i="87"/>
  <c r="D8" i="6" s="1"/>
  <c r="D21" i="87"/>
  <c r="D28" i="87" s="1"/>
  <c r="D23" i="6" s="1"/>
  <c r="F67" i="15" s="1"/>
  <c r="E49" i="87"/>
  <c r="E43" i="6" s="1"/>
  <c r="G70" i="15" s="1"/>
  <c r="E48" i="87"/>
  <c r="F48" i="87" s="1"/>
  <c r="E50" i="87"/>
  <c r="E44" i="6" s="1"/>
  <c r="B50" i="87"/>
  <c r="B44" i="6" s="1"/>
  <c r="E57" i="87"/>
  <c r="E50" i="6" s="1"/>
  <c r="E55" i="87"/>
  <c r="E48" i="6" s="1"/>
  <c r="B57" i="87"/>
  <c r="B50" i="6" s="1"/>
  <c r="B56" i="87"/>
  <c r="B49" i="6" s="1"/>
  <c r="B55" i="87"/>
  <c r="B48" i="6" s="1"/>
  <c r="A41" i="41" a="1"/>
  <c r="A41" i="41" s="1"/>
  <c r="A18" i="41" a="1"/>
  <c r="A18" i="41" s="1"/>
  <c r="A8" i="3" a="1"/>
  <c r="A8" i="3" s="1"/>
  <c r="F55" i="87"/>
  <c r="G55" i="87" s="1"/>
  <c r="F57" i="87"/>
  <c r="G57" i="87" s="1"/>
  <c r="B17" i="35"/>
  <c r="B18" i="35"/>
  <c r="B19" i="35"/>
  <c r="B20" i="35"/>
  <c r="B21" i="35"/>
  <c r="B22" i="35"/>
  <c r="B23" i="35"/>
  <c r="B24" i="35"/>
  <c r="B25" i="35"/>
  <c r="B28" i="35"/>
  <c r="B29" i="35"/>
  <c r="B30" i="35"/>
  <c r="B31" i="35"/>
  <c r="B16" i="35"/>
  <c r="D156" i="15" a="1"/>
  <c r="D156" i="15" s="1"/>
  <c r="D129" i="15" a="1"/>
  <c r="D129" i="15" s="1"/>
  <c r="D64" i="15" a="1"/>
  <c r="D64" i="15" s="1"/>
  <c r="F50" i="6"/>
  <c r="A40" i="15" a="1"/>
  <c r="A40" i="15" s="1"/>
  <c r="A43" i="35" a="1"/>
  <c r="A43" i="35" s="1"/>
  <c r="A12" i="6"/>
  <c r="A66" i="15" s="1"/>
  <c r="A5" i="6"/>
  <c r="A65" i="15" s="1"/>
  <c r="A55" i="87" a="1"/>
  <c r="A55" i="87" s="1"/>
  <c r="A48" i="6" s="1"/>
  <c r="A48" i="87" a="1"/>
  <c r="A48" i="87" s="1"/>
  <c r="A42" i="6" s="1"/>
  <c r="A20" i="87" a="1"/>
  <c r="A29" i="87" s="1"/>
  <c r="A24" i="6" s="1"/>
  <c r="A52" i="87"/>
  <c r="A46" i="6" s="1"/>
  <c r="A71" i="15" s="1"/>
  <c r="A45" i="87"/>
  <c r="A40" i="6" s="1"/>
  <c r="A70" i="15" s="1"/>
  <c r="A41" i="87" a="1"/>
  <c r="A41" i="87" s="1"/>
  <c r="A36" i="6" s="1"/>
  <c r="A34" i="87" a="1"/>
  <c r="A34" i="87" s="1"/>
  <c r="A29" i="6" s="1"/>
  <c r="A38" i="87"/>
  <c r="A33" i="6" s="1"/>
  <c r="A69" i="15" s="1"/>
  <c r="A31" i="87"/>
  <c r="A26" i="6" s="1"/>
  <c r="A68" i="15" s="1"/>
  <c r="B12" i="87" a="1"/>
  <c r="A4" i="87" a="1"/>
  <c r="A4" i="87" s="1"/>
  <c r="A13" i="87" a="1"/>
  <c r="A13" i="87" s="1"/>
  <c r="A8" i="6" s="1"/>
  <c r="A20" i="87"/>
  <c r="A28" i="87"/>
  <c r="A23" i="6" s="1"/>
  <c r="C7" i="6"/>
  <c r="G7" i="6"/>
  <c r="K7" i="6"/>
  <c r="O7" i="6"/>
  <c r="S7" i="6"/>
  <c r="E7" i="6"/>
  <c r="I7" i="6"/>
  <c r="Q7" i="6"/>
  <c r="J7" i="6"/>
  <c r="R7" i="6"/>
  <c r="D7" i="6"/>
  <c r="H7" i="6"/>
  <c r="L7" i="6"/>
  <c r="P7" i="6"/>
  <c r="T7" i="6"/>
  <c r="M7" i="6"/>
  <c r="U7" i="6"/>
  <c r="F7" i="6"/>
  <c r="N7" i="6"/>
  <c r="B12" i="87"/>
  <c r="B7" i="6" s="1"/>
  <c r="A43" i="6"/>
  <c r="A49" i="6"/>
  <c r="A37" i="6"/>
  <c r="A16" i="6"/>
  <c r="A31" i="6"/>
  <c r="A10" i="6"/>
  <c r="A30" i="6"/>
  <c r="A9" i="6"/>
  <c r="A50" i="6"/>
  <c r="A38" i="6"/>
  <c r="A17" i="6"/>
  <c r="A44" i="6"/>
  <c r="D40" i="41" a="1"/>
  <c r="D40" i="41" s="1"/>
  <c r="Z41" i="35" a="1"/>
  <c r="Z41" i="35" s="1"/>
  <c r="Z7" i="3" a="1"/>
  <c r="Z7" i="3" s="1"/>
  <c r="B8" i="23" a="1"/>
  <c r="B8" i="23" s="1"/>
  <c r="D69" i="15"/>
  <c r="A15" i="6"/>
  <c r="A27" i="87"/>
  <c r="A22" i="6" s="1"/>
  <c r="E65" i="15"/>
  <c r="D71" i="15"/>
  <c r="H27" i="8"/>
  <c r="I27" i="8"/>
  <c r="J27" i="8"/>
  <c r="K27" i="8"/>
  <c r="L27" i="8"/>
  <c r="M27" i="8"/>
  <c r="N27" i="8"/>
  <c r="O27" i="8"/>
  <c r="P27" i="8"/>
  <c r="Q27" i="8"/>
  <c r="R27" i="8"/>
  <c r="S27" i="8"/>
  <c r="T27" i="8"/>
  <c r="U27" i="8"/>
  <c r="V27" i="8"/>
  <c r="W27" i="8"/>
  <c r="X27" i="8"/>
  <c r="Y27" i="8"/>
  <c r="Z27" i="8"/>
  <c r="AA27" i="8"/>
  <c r="H14" i="8"/>
  <c r="I14" i="8"/>
  <c r="J14" i="8"/>
  <c r="K14" i="8"/>
  <c r="L14" i="8"/>
  <c r="M14" i="8"/>
  <c r="N14" i="8"/>
  <c r="O14" i="8"/>
  <c r="P14" i="8"/>
  <c r="Q14" i="8"/>
  <c r="R14" i="8"/>
  <c r="S14" i="8"/>
  <c r="T14" i="8"/>
  <c r="U14" i="8"/>
  <c r="V14" i="8"/>
  <c r="W14" i="8"/>
  <c r="X14" i="8"/>
  <c r="Y14" i="8"/>
  <c r="Z14" i="8"/>
  <c r="AA14" i="8"/>
  <c r="AA38" i="8"/>
  <c r="AA32" i="8"/>
  <c r="S38" i="8"/>
  <c r="S32" i="8"/>
  <c r="K38" i="8"/>
  <c r="K32" i="8"/>
  <c r="Z32" i="8"/>
  <c r="Z38" i="8"/>
  <c r="V32" i="8"/>
  <c r="V38" i="8"/>
  <c r="R38" i="8"/>
  <c r="R32" i="8"/>
  <c r="N38" i="8"/>
  <c r="N32" i="8"/>
  <c r="J38" i="8"/>
  <c r="J32" i="8"/>
  <c r="W38" i="8"/>
  <c r="W32" i="8"/>
  <c r="O38" i="8"/>
  <c r="O32" i="8"/>
  <c r="Y38" i="8"/>
  <c r="Y32" i="8"/>
  <c r="U38" i="8"/>
  <c r="U32" i="8"/>
  <c r="Q38" i="8"/>
  <c r="Q32" i="8"/>
  <c r="M38" i="8"/>
  <c r="M32" i="8"/>
  <c r="I38" i="8"/>
  <c r="I32" i="8"/>
  <c r="X38" i="8"/>
  <c r="X32" i="8"/>
  <c r="T38" i="8"/>
  <c r="T32" i="8"/>
  <c r="P38" i="8"/>
  <c r="P32" i="8"/>
  <c r="L38" i="8"/>
  <c r="L32" i="8"/>
  <c r="H38" i="8"/>
  <c r="H32" i="8"/>
  <c r="E27" i="41"/>
  <c r="E19" i="41"/>
  <c r="E24" i="41"/>
  <c r="E28" i="41"/>
  <c r="E29" i="41"/>
  <c r="E25" i="41"/>
  <c r="E21" i="41"/>
  <c r="E33" i="41"/>
  <c r="E32" i="41"/>
  <c r="E30" i="41"/>
  <c r="E20" i="41"/>
  <c r="E26" i="41"/>
  <c r="E31" i="41"/>
  <c r="E23" i="41"/>
  <c r="B19" i="1"/>
  <c r="J57" i="8"/>
  <c r="O34" i="8" s="1"/>
  <c r="J59" i="8"/>
  <c r="O40" i="8" s="1"/>
  <c r="F59" i="8"/>
  <c r="N40" i="8" s="1"/>
  <c r="B59" i="8"/>
  <c r="M40" i="8" s="1"/>
  <c r="B57" i="8"/>
  <c r="M34" i="8" s="1"/>
  <c r="F57" i="8"/>
  <c r="N34" i="8" s="1"/>
  <c r="J55" i="8"/>
  <c r="O29" i="8" s="1"/>
  <c r="F55" i="8"/>
  <c r="N29" i="8" s="1"/>
  <c r="B55" i="8"/>
  <c r="M29" i="8" s="1"/>
  <c r="L19" i="8"/>
  <c r="L18" i="8"/>
  <c r="L17" i="8"/>
  <c r="L16" i="8"/>
  <c r="L15" i="8"/>
  <c r="A9" i="5" a="1"/>
  <c r="A9" i="5" s="1"/>
  <c r="B20" i="1"/>
  <c r="A20" i="1"/>
  <c r="A19" i="1"/>
  <c r="M39" i="8"/>
  <c r="M41" i="8"/>
  <c r="O28" i="8"/>
  <c r="O30" i="8"/>
  <c r="N39" i="8"/>
  <c r="N41" i="8"/>
  <c r="N28" i="8"/>
  <c r="N30" i="8"/>
  <c r="N35" i="8"/>
  <c r="N33" i="8"/>
  <c r="O39" i="8"/>
  <c r="O41" i="8"/>
  <c r="M28" i="8"/>
  <c r="M30" i="8"/>
  <c r="M33" i="8"/>
  <c r="M35" i="8"/>
  <c r="O33" i="8"/>
  <c r="O35" i="8"/>
  <c r="D7" i="41" a="1"/>
  <c r="C45" i="8"/>
  <c r="C46" i="8" s="1"/>
  <c r="C43" i="8"/>
  <c r="C44" i="8" s="1"/>
  <c r="C47" i="8"/>
  <c r="C48" i="8" s="1"/>
  <c r="P34" i="8"/>
  <c r="P33" i="8" s="1"/>
  <c r="P29" i="8"/>
  <c r="Q29" i="8" s="1"/>
  <c r="P40" i="8"/>
  <c r="Q40" i="8" s="1"/>
  <c r="Q34" i="8"/>
  <c r="P35" i="8"/>
  <c r="Q39" i="8"/>
  <c r="Q41" i="8"/>
  <c r="P41" i="8"/>
  <c r="P39" i="8"/>
  <c r="Q30" i="8"/>
  <c r="Q28" i="8"/>
  <c r="Q35" i="8"/>
  <c r="Q33" i="8"/>
  <c r="P30" i="8"/>
  <c r="P28" i="8"/>
  <c r="R34" i="8"/>
  <c r="R40" i="8"/>
  <c r="R29" i="8"/>
  <c r="D78" i="15" a="1"/>
  <c r="D78" i="15" s="1"/>
  <c r="D15" i="35" a="1"/>
  <c r="D15" i="35" s="1"/>
  <c r="D17" i="41" a="1"/>
  <c r="D17" i="41" s="1"/>
  <c r="Z8" i="5" a="1"/>
  <c r="Z8" i="5" s="1"/>
  <c r="D7" i="3" a="1"/>
  <c r="D7" i="3" s="1"/>
  <c r="D42" i="35" a="1"/>
  <c r="D42" i="35" s="1"/>
  <c r="D8" i="5" a="1"/>
  <c r="D8" i="5" s="1"/>
  <c r="Z42" i="35" a="1"/>
  <c r="Z42" i="35" s="1"/>
  <c r="D169" i="15" a="1"/>
  <c r="D169" i="15" s="1"/>
  <c r="D102" i="15" a="1"/>
  <c r="D102" i="15" s="1"/>
  <c r="Z15" i="35" a="1"/>
  <c r="Z15" i="35" s="1"/>
  <c r="R35" i="8"/>
  <c r="R33" i="8"/>
  <c r="R28" i="8"/>
  <c r="R30" i="8"/>
  <c r="R39" i="8"/>
  <c r="R41" i="8"/>
  <c r="S34" i="8"/>
  <c r="S40" i="8"/>
  <c r="S29" i="8"/>
  <c r="S30" i="8"/>
  <c r="S28" i="8"/>
  <c r="S35" i="8"/>
  <c r="S33" i="8"/>
  <c r="S41" i="8"/>
  <c r="S39" i="8"/>
  <c r="T34" i="8"/>
  <c r="T40" i="8"/>
  <c r="T29" i="8"/>
  <c r="T41" i="8"/>
  <c r="T39" i="8"/>
  <c r="T33" i="8"/>
  <c r="T35" i="8"/>
  <c r="T30" i="8"/>
  <c r="T28" i="8"/>
  <c r="U34" i="8"/>
  <c r="U40" i="8"/>
  <c r="U29" i="8"/>
  <c r="U33" i="8"/>
  <c r="U35" i="8"/>
  <c r="U41" i="8"/>
  <c r="U39" i="8"/>
  <c r="U30" i="8"/>
  <c r="U28" i="8"/>
  <c r="V34" i="8"/>
  <c r="V40" i="8"/>
  <c r="V29" i="8"/>
  <c r="V39" i="8"/>
  <c r="V41" i="8"/>
  <c r="V28" i="8"/>
  <c r="V30" i="8"/>
  <c r="V35" i="8"/>
  <c r="V33" i="8"/>
  <c r="W40" i="8"/>
  <c r="W34" i="8"/>
  <c r="W29" i="8"/>
  <c r="W39" i="8"/>
  <c r="W41" i="8"/>
  <c r="W28" i="8"/>
  <c r="W30" i="8"/>
  <c r="W33" i="8"/>
  <c r="W35" i="8"/>
  <c r="X40" i="8"/>
  <c r="X34" i="8"/>
  <c r="X29" i="8"/>
  <c r="X41" i="8"/>
  <c r="X39" i="8"/>
  <c r="X30" i="8"/>
  <c r="X28" i="8"/>
  <c r="X33" i="8"/>
  <c r="X35" i="8"/>
  <c r="Y34" i="8"/>
  <c r="Y40" i="8"/>
  <c r="Y29" i="8"/>
  <c r="Y35" i="8"/>
  <c r="Y33" i="8"/>
  <c r="Y41" i="8"/>
  <c r="Y39" i="8"/>
  <c r="Y30" i="8"/>
  <c r="Y28" i="8"/>
  <c r="Z40" i="8"/>
  <c r="Z34" i="8"/>
  <c r="Z29" i="8"/>
  <c r="Z35" i="8"/>
  <c r="Z33" i="8"/>
  <c r="Z39" i="8"/>
  <c r="Z41" i="8"/>
  <c r="Z28" i="8"/>
  <c r="Z30" i="8"/>
  <c r="AA34" i="8"/>
  <c r="AA40" i="8"/>
  <c r="AA29" i="8"/>
  <c r="AA39" i="8"/>
  <c r="AA41" i="8"/>
  <c r="AA30" i="8"/>
  <c r="AA28" i="8"/>
  <c r="AA35" i="8"/>
  <c r="AA33" i="8"/>
  <c r="E8" i="41" l="1"/>
  <c r="F8" i="41" s="1"/>
  <c r="G8" i="41" s="1"/>
  <c r="H8" i="41" s="1"/>
  <c r="I8" i="41" s="1"/>
  <c r="J8" i="41" s="1"/>
  <c r="K8" i="41" s="1"/>
  <c r="L8" i="41" s="1"/>
  <c r="M8" i="41" s="1"/>
  <c r="N8" i="41" s="1"/>
  <c r="O8" i="41" s="1"/>
  <c r="P8" i="41" s="1"/>
  <c r="Q8" i="41" s="1"/>
  <c r="R8" i="41" s="1"/>
  <c r="S8" i="41" s="1"/>
  <c r="T8" i="41" s="1"/>
  <c r="U8" i="41" s="1"/>
  <c r="V8" i="41" s="1"/>
  <c r="W8" i="41" s="1"/>
  <c r="E10" i="41"/>
  <c r="M10" i="41"/>
  <c r="U10" i="41"/>
  <c r="R10" i="41"/>
  <c r="L10" i="41"/>
  <c r="F10" i="41"/>
  <c r="N10" i="41"/>
  <c r="V10" i="41"/>
  <c r="G10" i="41"/>
  <c r="O10" i="41"/>
  <c r="W10" i="41"/>
  <c r="P10" i="41"/>
  <c r="S10" i="41"/>
  <c r="H10" i="41"/>
  <c r="T10" i="41"/>
  <c r="I10" i="41"/>
  <c r="Q10" i="41"/>
  <c r="J10" i="41"/>
  <c r="K10" i="41"/>
  <c r="G23" i="93"/>
  <c r="H23" i="93" s="1"/>
  <c r="I23" i="93" s="1"/>
  <c r="J23" i="93" s="1"/>
  <c r="K23" i="93" s="1"/>
  <c r="L23" i="93" s="1"/>
  <c r="M23" i="93" s="1"/>
  <c r="N23" i="93" s="1"/>
  <c r="O23" i="93" s="1"/>
  <c r="P23" i="93" s="1"/>
  <c r="Q23" i="93" s="1"/>
  <c r="R23" i="93" s="1"/>
  <c r="S23" i="93" s="1"/>
  <c r="T23" i="93" s="1"/>
  <c r="U23" i="93" s="1"/>
  <c r="V23" i="93" s="1"/>
  <c r="W23" i="93" s="1"/>
  <c r="D7" i="41"/>
  <c r="D10" i="41" s="1"/>
  <c r="D11" i="41" s="1"/>
  <c r="D21" i="93"/>
  <c r="F5" i="41"/>
  <c r="E18" i="41"/>
  <c r="E35" i="41" s="1"/>
  <c r="A130" i="15" a="1"/>
  <c r="A130" i="15" s="1"/>
  <c r="D36" i="87"/>
  <c r="D31" i="6" s="1"/>
  <c r="D15" i="87"/>
  <c r="D10" i="6" s="1"/>
  <c r="C22" i="87"/>
  <c r="C17" i="6" s="1"/>
  <c r="B35" i="87"/>
  <c r="B30" i="6" s="1"/>
  <c r="D68" i="15" s="1"/>
  <c r="B48" i="87"/>
  <c r="B42" i="6" s="1"/>
  <c r="B34" i="87"/>
  <c r="B29" i="6" s="1"/>
  <c r="G48" i="87"/>
  <c r="F42" i="6"/>
  <c r="E42" i="6"/>
  <c r="E35" i="87"/>
  <c r="E30" i="6" s="1"/>
  <c r="G68" i="15" s="1"/>
  <c r="E21" i="87"/>
  <c r="E28" i="87" s="1"/>
  <c r="E23" i="6" s="1"/>
  <c r="G67" i="15" s="1"/>
  <c r="D27" i="87"/>
  <c r="D22" i="6" s="1"/>
  <c r="D41" i="87"/>
  <c r="D36" i="6" s="1"/>
  <c r="D42" i="87"/>
  <c r="D37" i="6" s="1"/>
  <c r="F69" i="15" s="1"/>
  <c r="D34" i="87"/>
  <c r="D29" i="6" s="1"/>
  <c r="C48" i="87"/>
  <c r="C42" i="6" s="1"/>
  <c r="C49" i="87"/>
  <c r="C43" i="6" s="1"/>
  <c r="E70" i="15" s="1"/>
  <c r="B22" i="87"/>
  <c r="B17" i="6" s="1"/>
  <c r="E8" i="6"/>
  <c r="F13" i="87"/>
  <c r="F49" i="87"/>
  <c r="E15" i="87"/>
  <c r="E14" i="87"/>
  <c r="E20" i="87"/>
  <c r="E22" i="87"/>
  <c r="D55" i="87"/>
  <c r="D48" i="6" s="1"/>
  <c r="D49" i="87"/>
  <c r="D43" i="6" s="1"/>
  <c r="F70" i="15" s="1"/>
  <c r="D16" i="6"/>
  <c r="F66" i="15" s="1"/>
  <c r="C34" i="87"/>
  <c r="C29" i="6" s="1"/>
  <c r="B14" i="87"/>
  <c r="B9" i="6" s="1"/>
  <c r="D65" i="15" s="1"/>
  <c r="F36" i="87"/>
  <c r="E31" i="6"/>
  <c r="G43" i="87"/>
  <c r="F38" i="6"/>
  <c r="G50" i="6"/>
  <c r="H57" i="87"/>
  <c r="F56" i="87"/>
  <c r="E49" i="6"/>
  <c r="G71" i="15" s="1"/>
  <c r="D29" i="87"/>
  <c r="D24" i="6" s="1"/>
  <c r="D17" i="6"/>
  <c r="G48" i="6"/>
  <c r="H55" i="87"/>
  <c r="F42" i="87"/>
  <c r="E37" i="6"/>
  <c r="G69" i="15" s="1"/>
  <c r="F50" i="87"/>
  <c r="F35" i="87"/>
  <c r="B20" i="87"/>
  <c r="D56" i="87"/>
  <c r="D49" i="6" s="1"/>
  <c r="F71" i="15" s="1"/>
  <c r="E34" i="87"/>
  <c r="D14" i="87"/>
  <c r="D9" i="6" s="1"/>
  <c r="F65" i="15" s="1"/>
  <c r="C29" i="87"/>
  <c r="C24" i="6" s="1"/>
  <c r="C20" i="87"/>
  <c r="E41" i="87"/>
  <c r="AB70" i="35"/>
  <c r="AE78" i="35"/>
  <c r="AC72" i="35"/>
  <c r="AF65" i="35"/>
  <c r="AA77" i="35"/>
  <c r="AF76" i="35"/>
  <c r="AD70" i="35"/>
  <c r="B21" i="87"/>
  <c r="C21" i="87"/>
  <c r="AB76" i="35"/>
  <c r="AE69" i="35"/>
  <c r="E16" i="6"/>
  <c r="G66" i="15" s="1"/>
  <c r="D48" i="87"/>
  <c r="D42" i="6" s="1"/>
  <c r="C41" i="87"/>
  <c r="C36" i="6" s="1"/>
  <c r="F21" i="87"/>
  <c r="AC73" i="35"/>
  <c r="AF66" i="35"/>
  <c r="AD75" i="35"/>
  <c r="AB69" i="35"/>
  <c r="AA70" i="35"/>
  <c r="AB80" i="35"/>
  <c r="AE73" i="35"/>
  <c r="AC67" i="35"/>
  <c r="C55" i="87"/>
  <c r="C48" i="6" s="1"/>
  <c r="B13" i="87"/>
  <c r="B8" i="6" s="1"/>
  <c r="F48" i="6"/>
  <c r="C56" i="87"/>
  <c r="C49" i="6" s="1"/>
  <c r="E71" i="15" s="1"/>
  <c r="C13" i="87"/>
  <c r="C8" i="6" s="1"/>
  <c r="AF70" i="35"/>
  <c r="AD79" i="35"/>
  <c r="AB73" i="35"/>
  <c r="AE66" i="35"/>
  <c r="AA65" i="35"/>
  <c r="AE77" i="35"/>
  <c r="AC71" i="35"/>
  <c r="A157" i="15" a="1"/>
  <c r="A157" i="15" s="1"/>
  <c r="A90" i="15" a="1"/>
  <c r="A90" i="15" s="1"/>
  <c r="A116" i="15" a="1"/>
  <c r="A116" i="15" s="1"/>
  <c r="A79" i="15" a="1"/>
  <c r="A79" i="15" s="1"/>
  <c r="A145" i="15" a="1"/>
  <c r="A145" i="15" s="1"/>
  <c r="A103" i="15" a="1"/>
  <c r="A103" i="15" s="1"/>
  <c r="E11" i="41" l="1"/>
  <c r="F11" i="41" s="1"/>
  <c r="G11" i="41" s="1"/>
  <c r="H11" i="41" s="1"/>
  <c r="I11" i="41" s="1"/>
  <c r="J11" i="41" s="1"/>
  <c r="K11" i="41" s="1"/>
  <c r="L11" i="41" s="1"/>
  <c r="M11" i="41" s="1"/>
  <c r="N11" i="41" s="1"/>
  <c r="O11" i="41" s="1"/>
  <c r="P11" i="41" s="1"/>
  <c r="Q11" i="41" s="1"/>
  <c r="R11" i="41" s="1"/>
  <c r="S11" i="41" s="1"/>
  <c r="T11" i="41" s="1"/>
  <c r="U11" i="41" s="1"/>
  <c r="V11" i="41" s="1"/>
  <c r="W11" i="41" s="1"/>
  <c r="G5" i="41"/>
  <c r="F19" i="41"/>
  <c r="F18" i="41"/>
  <c r="F24" i="41"/>
  <c r="F28" i="41"/>
  <c r="F29" i="41"/>
  <c r="F25" i="41"/>
  <c r="F27" i="41"/>
  <c r="F21" i="41"/>
  <c r="F33" i="41"/>
  <c r="F32" i="41"/>
  <c r="F22" i="41"/>
  <c r="F26" i="41"/>
  <c r="F30" i="41"/>
  <c r="F20" i="41"/>
  <c r="F31" i="41"/>
  <c r="F23" i="41"/>
  <c r="B29" i="87"/>
  <c r="B24" i="6" s="1"/>
  <c r="H48" i="87"/>
  <c r="G42" i="6"/>
  <c r="E9" i="6"/>
  <c r="G65" i="15" s="1"/>
  <c r="F14" i="87"/>
  <c r="F15" i="87"/>
  <c r="E10" i="6"/>
  <c r="G49" i="87"/>
  <c r="F43" i="6"/>
  <c r="H70" i="15" s="1"/>
  <c r="E27" i="87"/>
  <c r="E22" i="6" s="1"/>
  <c r="F20" i="87"/>
  <c r="E15" i="6"/>
  <c r="G13" i="87"/>
  <c r="F8" i="6"/>
  <c r="E29" i="87"/>
  <c r="E24" i="6" s="1"/>
  <c r="F22" i="87"/>
  <c r="E17" i="6"/>
  <c r="G35" i="87"/>
  <c r="F30" i="6"/>
  <c r="H68" i="15" s="1"/>
  <c r="I57" i="87"/>
  <c r="H50" i="6"/>
  <c r="B16" i="6"/>
  <c r="D66" i="15" s="1"/>
  <c r="B28" i="87"/>
  <c r="B23" i="6" s="1"/>
  <c r="D67" i="15" s="1"/>
  <c r="F41" i="87"/>
  <c r="E36" i="6"/>
  <c r="G50" i="87"/>
  <c r="F44" i="6"/>
  <c r="H48" i="6"/>
  <c r="I55" i="87"/>
  <c r="G38" i="6"/>
  <c r="H43" i="87"/>
  <c r="C15" i="6"/>
  <c r="C27" i="87"/>
  <c r="C22" i="6" s="1"/>
  <c r="C16" i="6"/>
  <c r="E66" i="15" s="1"/>
  <c r="C28" i="87"/>
  <c r="C23" i="6" s="1"/>
  <c r="E67" i="15" s="1"/>
  <c r="G42" i="87"/>
  <c r="F37" i="6"/>
  <c r="H69" i="15" s="1"/>
  <c r="G36" i="87"/>
  <c r="F31" i="6"/>
  <c r="F34" i="87"/>
  <c r="E29" i="6"/>
  <c r="F28" i="87"/>
  <c r="F23" i="6" s="1"/>
  <c r="H67" i="15" s="1"/>
  <c r="G21" i="87"/>
  <c r="F16" i="6"/>
  <c r="H66" i="15" s="1"/>
  <c r="B15" i="6"/>
  <c r="B27" i="87"/>
  <c r="B22" i="6" s="1"/>
  <c r="G56" i="87"/>
  <c r="F49" i="6"/>
  <c r="H71" i="15" s="1"/>
  <c r="F35" i="41" l="1"/>
  <c r="H5" i="41"/>
  <c r="G31" i="41"/>
  <c r="G23" i="41"/>
  <c r="G19" i="41"/>
  <c r="G24" i="41"/>
  <c r="G28" i="41"/>
  <c r="G29" i="41"/>
  <c r="G25" i="41"/>
  <c r="G27" i="41"/>
  <c r="G21" i="41"/>
  <c r="G33" i="41"/>
  <c r="G32" i="41"/>
  <c r="G22" i="41"/>
  <c r="G26" i="41"/>
  <c r="G18" i="41"/>
  <c r="G30" i="41"/>
  <c r="G20" i="41"/>
  <c r="I48" i="87"/>
  <c r="H42" i="6"/>
  <c r="F27" i="87"/>
  <c r="F22" i="6" s="1"/>
  <c r="G20" i="87"/>
  <c r="F15" i="6"/>
  <c r="F29" i="87"/>
  <c r="F24" i="6" s="1"/>
  <c r="F17" i="6"/>
  <c r="G22" i="87"/>
  <c r="G43" i="6"/>
  <c r="I70" i="15" s="1"/>
  <c r="H49" i="87"/>
  <c r="G15" i="87"/>
  <c r="F10" i="6"/>
  <c r="G8" i="6"/>
  <c r="H13" i="87"/>
  <c r="G14" i="87"/>
  <c r="F9" i="6"/>
  <c r="H65" i="15" s="1"/>
  <c r="G31" i="6"/>
  <c r="H36" i="87"/>
  <c r="F36" i="6"/>
  <c r="G41" i="87"/>
  <c r="G34" i="87"/>
  <c r="F29" i="6"/>
  <c r="H38" i="6"/>
  <c r="I43" i="87"/>
  <c r="G28" i="87"/>
  <c r="G23" i="6" s="1"/>
  <c r="I67" i="15" s="1"/>
  <c r="G16" i="6"/>
  <c r="I66" i="15" s="1"/>
  <c r="H21" i="87"/>
  <c r="G37" i="6"/>
  <c r="I69" i="15" s="1"/>
  <c r="H42" i="87"/>
  <c r="I48" i="6"/>
  <c r="J55" i="87"/>
  <c r="G49" i="6"/>
  <c r="I71" i="15" s="1"/>
  <c r="H56" i="87"/>
  <c r="I50" i="6"/>
  <c r="J57" i="87"/>
  <c r="G44" i="6"/>
  <c r="H50" i="87"/>
  <c r="G30" i="6"/>
  <c r="I68" i="15" s="1"/>
  <c r="H35" i="87"/>
  <c r="G35" i="41" l="1"/>
  <c r="I5" i="41"/>
  <c r="H30" i="41"/>
  <c r="H20" i="41"/>
  <c r="H31" i="41"/>
  <c r="H23" i="41"/>
  <c r="H19" i="41"/>
  <c r="H24" i="41"/>
  <c r="H28" i="41"/>
  <c r="H29" i="41"/>
  <c r="H25" i="41"/>
  <c r="H27" i="41"/>
  <c r="H21" i="41"/>
  <c r="H33" i="41"/>
  <c r="H32" i="41"/>
  <c r="H22" i="41"/>
  <c r="H26" i="41"/>
  <c r="H18" i="41"/>
  <c r="J48" i="87"/>
  <c r="I42" i="6"/>
  <c r="G17" i="6"/>
  <c r="H22" i="87"/>
  <c r="G29" i="87"/>
  <c r="G24" i="6" s="1"/>
  <c r="G9" i="6"/>
  <c r="I65" i="15" s="1"/>
  <c r="H14" i="87"/>
  <c r="I13" i="87"/>
  <c r="H8" i="6"/>
  <c r="H15" i="87"/>
  <c r="G10" i="6"/>
  <c r="I49" i="87"/>
  <c r="H43" i="6"/>
  <c r="J70" i="15" s="1"/>
  <c r="G27" i="87"/>
  <c r="G22" i="6" s="1"/>
  <c r="G15" i="6"/>
  <c r="H20" i="87"/>
  <c r="I50" i="87"/>
  <c r="H44" i="6"/>
  <c r="H37" i="6"/>
  <c r="J69" i="15" s="1"/>
  <c r="I42" i="87"/>
  <c r="G29" i="6"/>
  <c r="H34" i="87"/>
  <c r="I56" i="87"/>
  <c r="H49" i="6"/>
  <c r="J71" i="15" s="1"/>
  <c r="K57" i="87"/>
  <c r="J50" i="6"/>
  <c r="H28" i="87"/>
  <c r="H23" i="6" s="1"/>
  <c r="J67" i="15" s="1"/>
  <c r="H16" i="6"/>
  <c r="J66" i="15" s="1"/>
  <c r="I21" i="87"/>
  <c r="K55" i="87"/>
  <c r="J48" i="6"/>
  <c r="G36" i="6"/>
  <c r="H41" i="87"/>
  <c r="J43" i="87"/>
  <c r="I38" i="6"/>
  <c r="I36" i="87"/>
  <c r="H31" i="6"/>
  <c r="H30" i="6"/>
  <c r="J68" i="15" s="1"/>
  <c r="I35" i="87"/>
  <c r="H35" i="41" l="1"/>
  <c r="J5" i="41"/>
  <c r="I32" i="41"/>
  <c r="I22" i="41"/>
  <c r="I26" i="41"/>
  <c r="I30" i="41"/>
  <c r="I20" i="41"/>
  <c r="I18" i="41"/>
  <c r="I31" i="41"/>
  <c r="I19" i="41"/>
  <c r="I24" i="41"/>
  <c r="I28" i="41"/>
  <c r="I29" i="41"/>
  <c r="I25" i="41"/>
  <c r="I27" i="41"/>
  <c r="I21" i="41"/>
  <c r="I33" i="41"/>
  <c r="I23" i="41"/>
  <c r="K48" i="87"/>
  <c r="J42" i="6"/>
  <c r="J13" i="87"/>
  <c r="I8" i="6"/>
  <c r="H9" i="6"/>
  <c r="J65" i="15" s="1"/>
  <c r="I14" i="87"/>
  <c r="I43" i="6"/>
  <c r="K70" i="15" s="1"/>
  <c r="J49" i="87"/>
  <c r="H10" i="6"/>
  <c r="I15" i="87"/>
  <c r="H17" i="6"/>
  <c r="I22" i="87"/>
  <c r="H29" i="87"/>
  <c r="H24" i="6" s="1"/>
  <c r="H27" i="87"/>
  <c r="H22" i="6" s="1"/>
  <c r="H15" i="6"/>
  <c r="I20" i="87"/>
  <c r="K48" i="6"/>
  <c r="L55" i="87"/>
  <c r="I44" i="6"/>
  <c r="J50" i="87"/>
  <c r="I28" i="87"/>
  <c r="I23" i="6" s="1"/>
  <c r="K67" i="15" s="1"/>
  <c r="I16" i="6"/>
  <c r="K66" i="15" s="1"/>
  <c r="J21" i="87"/>
  <c r="I49" i="6"/>
  <c r="K71" i="15" s="1"/>
  <c r="J56" i="87"/>
  <c r="I30" i="6"/>
  <c r="K68" i="15" s="1"/>
  <c r="J35" i="87"/>
  <c r="I34" i="87"/>
  <c r="H29" i="6"/>
  <c r="I31" i="6"/>
  <c r="J36" i="87"/>
  <c r="H36" i="6"/>
  <c r="I41" i="87"/>
  <c r="I37" i="6"/>
  <c r="K69" i="15" s="1"/>
  <c r="J42" i="87"/>
  <c r="J38" i="6"/>
  <c r="K43" i="87"/>
  <c r="L57" i="87"/>
  <c r="K50" i="6"/>
  <c r="K5" i="41" l="1"/>
  <c r="J27" i="41"/>
  <c r="J21" i="41"/>
  <c r="J33" i="41"/>
  <c r="J32" i="41"/>
  <c r="J22" i="41"/>
  <c r="J26" i="41"/>
  <c r="J31" i="41"/>
  <c r="J23" i="41"/>
  <c r="J18" i="41"/>
  <c r="J20" i="41"/>
  <c r="J19" i="41"/>
  <c r="J24" i="41"/>
  <c r="J28" i="41"/>
  <c r="J29" i="41"/>
  <c r="J25" i="41"/>
  <c r="J30" i="41"/>
  <c r="I35" i="41"/>
  <c r="L48" i="87"/>
  <c r="K42" i="6"/>
  <c r="I27" i="87"/>
  <c r="I22" i="6" s="1"/>
  <c r="J20" i="87"/>
  <c r="I15" i="6"/>
  <c r="I9" i="6"/>
  <c r="K65" i="15" s="1"/>
  <c r="J14" i="87"/>
  <c r="I29" i="87"/>
  <c r="I24" i="6" s="1"/>
  <c r="I17" i="6"/>
  <c r="J22" i="87"/>
  <c r="K13" i="87"/>
  <c r="J8" i="6"/>
  <c r="I10" i="6"/>
  <c r="J15" i="87"/>
  <c r="K49" i="87"/>
  <c r="J43" i="6"/>
  <c r="L70" i="15" s="1"/>
  <c r="L50" i="6"/>
  <c r="M57" i="87"/>
  <c r="L43" i="87"/>
  <c r="K38" i="6"/>
  <c r="J37" i="6"/>
  <c r="L69" i="15" s="1"/>
  <c r="K42" i="87"/>
  <c r="K50" i="87"/>
  <c r="J44" i="6"/>
  <c r="L48" i="6"/>
  <c r="M55" i="87"/>
  <c r="I29" i="6"/>
  <c r="J34" i="87"/>
  <c r="K35" i="87"/>
  <c r="J30" i="6"/>
  <c r="L68" i="15" s="1"/>
  <c r="I36" i="6"/>
  <c r="J41" i="87"/>
  <c r="J49" i="6"/>
  <c r="L71" i="15" s="1"/>
  <c r="K56" i="87"/>
  <c r="J31" i="6"/>
  <c r="K36" i="87"/>
  <c r="J28" i="87"/>
  <c r="J23" i="6" s="1"/>
  <c r="L67" i="15" s="1"/>
  <c r="J16" i="6"/>
  <c r="L66" i="15" s="1"/>
  <c r="K21" i="87"/>
  <c r="J35" i="41" l="1"/>
  <c r="L5" i="41"/>
  <c r="K19" i="41"/>
  <c r="K24" i="41"/>
  <c r="K28" i="41"/>
  <c r="K29" i="41"/>
  <c r="K25" i="41"/>
  <c r="K22" i="41"/>
  <c r="K27" i="41"/>
  <c r="K21" i="41"/>
  <c r="K33" i="41"/>
  <c r="K32" i="41"/>
  <c r="K26" i="41"/>
  <c r="K30" i="41"/>
  <c r="K20" i="41"/>
  <c r="K18" i="41"/>
  <c r="K31" i="41"/>
  <c r="K23" i="41"/>
  <c r="M48" i="87"/>
  <c r="L42" i="6"/>
  <c r="J29" i="87"/>
  <c r="J24" i="6" s="1"/>
  <c r="J17" i="6"/>
  <c r="K22" i="87"/>
  <c r="K43" i="6"/>
  <c r="M70" i="15" s="1"/>
  <c r="L49" i="87"/>
  <c r="K14" i="87"/>
  <c r="J9" i="6"/>
  <c r="L65" i="15" s="1"/>
  <c r="J10" i="6"/>
  <c r="K15" i="87"/>
  <c r="K20" i="87"/>
  <c r="J15" i="6"/>
  <c r="J27" i="87"/>
  <c r="J22" i="6" s="1"/>
  <c r="K8" i="6"/>
  <c r="L13" i="87"/>
  <c r="M48" i="6"/>
  <c r="N55" i="87"/>
  <c r="K28" i="87"/>
  <c r="K23" i="6" s="1"/>
  <c r="M67" i="15" s="1"/>
  <c r="K16" i="6"/>
  <c r="M66" i="15" s="1"/>
  <c r="L21" i="87"/>
  <c r="M43" i="87"/>
  <c r="L38" i="6"/>
  <c r="L56" i="87"/>
  <c r="K49" i="6"/>
  <c r="M71" i="15" s="1"/>
  <c r="K44" i="6"/>
  <c r="L50" i="87"/>
  <c r="K30" i="6"/>
  <c r="M68" i="15" s="1"/>
  <c r="L35" i="87"/>
  <c r="K31" i="6"/>
  <c r="L36" i="87"/>
  <c r="J36" i="6"/>
  <c r="K41" i="87"/>
  <c r="J29" i="6"/>
  <c r="K34" i="87"/>
  <c r="K37" i="6"/>
  <c r="M69" i="15" s="1"/>
  <c r="L42" i="87"/>
  <c r="M50" i="6"/>
  <c r="N57" i="87"/>
  <c r="M5" i="41" l="1"/>
  <c r="L19" i="41"/>
  <c r="L24" i="41"/>
  <c r="L28" i="41"/>
  <c r="L29" i="41"/>
  <c r="L25" i="41"/>
  <c r="L27" i="41"/>
  <c r="L32" i="41"/>
  <c r="L22" i="41"/>
  <c r="L26" i="41"/>
  <c r="L30" i="41"/>
  <c r="L20" i="41"/>
  <c r="L31" i="41"/>
  <c r="L23" i="41"/>
  <c r="L33" i="41"/>
  <c r="L18" i="41"/>
  <c r="L21" i="41"/>
  <c r="K35" i="41"/>
  <c r="M42" i="6"/>
  <c r="N48" i="87"/>
  <c r="M13" i="87"/>
  <c r="L8" i="6"/>
  <c r="K9" i="6"/>
  <c r="M65" i="15" s="1"/>
  <c r="L14" i="87"/>
  <c r="L43" i="6"/>
  <c r="N70" i="15" s="1"/>
  <c r="M49" i="87"/>
  <c r="L20" i="87"/>
  <c r="K15" i="6"/>
  <c r="K27" i="87"/>
  <c r="K22" i="6" s="1"/>
  <c r="L22" i="87"/>
  <c r="K29" i="87"/>
  <c r="K24" i="6" s="1"/>
  <c r="K17" i="6"/>
  <c r="L15" i="87"/>
  <c r="K10" i="6"/>
  <c r="N50" i="6"/>
  <c r="O57" i="87"/>
  <c r="M42" i="87"/>
  <c r="L37" i="6"/>
  <c r="N69" i="15" s="1"/>
  <c r="L28" i="87"/>
  <c r="L23" i="6" s="1"/>
  <c r="N67" i="15" s="1"/>
  <c r="L16" i="6"/>
  <c r="N66" i="15" s="1"/>
  <c r="M21" i="87"/>
  <c r="L41" i="87"/>
  <c r="K36" i="6"/>
  <c r="L31" i="6"/>
  <c r="M36" i="87"/>
  <c r="N48" i="6"/>
  <c r="O55" i="87"/>
  <c r="K29" i="6"/>
  <c r="L34" i="87"/>
  <c r="M38" i="6"/>
  <c r="N43" i="87"/>
  <c r="L49" i="6"/>
  <c r="N71" i="15" s="1"/>
  <c r="M56" i="87"/>
  <c r="L30" i="6"/>
  <c r="N68" i="15" s="1"/>
  <c r="M35" i="87"/>
  <c r="L44" i="6"/>
  <c r="M50" i="87"/>
  <c r="L35" i="41" l="1"/>
  <c r="N5" i="41"/>
  <c r="M23" i="41"/>
  <c r="M21" i="41"/>
  <c r="M26" i="41"/>
  <c r="M27" i="41"/>
  <c r="M19" i="41"/>
  <c r="M25" i="41"/>
  <c r="M28" i="41"/>
  <c r="M24" i="41"/>
  <c r="M33" i="41"/>
  <c r="M32" i="41"/>
  <c r="M18" i="41"/>
  <c r="M29" i="41"/>
  <c r="M22" i="41"/>
  <c r="M31" i="41"/>
  <c r="M30" i="41"/>
  <c r="M20" i="41"/>
  <c r="O48" i="87"/>
  <c r="N42" i="6"/>
  <c r="L10" i="6"/>
  <c r="M15" i="87"/>
  <c r="L27" i="87"/>
  <c r="L22" i="6" s="1"/>
  <c r="L15" i="6"/>
  <c r="M20" i="87"/>
  <c r="M43" i="6"/>
  <c r="O70" i="15" s="1"/>
  <c r="N49" i="87"/>
  <c r="M22" i="87"/>
  <c r="L29" i="87"/>
  <c r="L24" i="6" s="1"/>
  <c r="L17" i="6"/>
  <c r="L9" i="6"/>
  <c r="N65" i="15" s="1"/>
  <c r="M14" i="87"/>
  <c r="M8" i="6"/>
  <c r="N13" i="87"/>
  <c r="O48" i="6"/>
  <c r="P55" i="87"/>
  <c r="M41" i="87"/>
  <c r="L36" i="6"/>
  <c r="M49" i="6"/>
  <c r="O71" i="15" s="1"/>
  <c r="N56" i="87"/>
  <c r="M28" i="87"/>
  <c r="M23" i="6" s="1"/>
  <c r="O67" i="15" s="1"/>
  <c r="M16" i="6"/>
  <c r="O66" i="15" s="1"/>
  <c r="N21" i="87"/>
  <c r="M44" i="6"/>
  <c r="N50" i="87"/>
  <c r="N38" i="6"/>
  <c r="O43" i="87"/>
  <c r="M31" i="6"/>
  <c r="N36" i="87"/>
  <c r="L29" i="6"/>
  <c r="M34" i="87"/>
  <c r="M37" i="6"/>
  <c r="O69" i="15" s="1"/>
  <c r="N42" i="87"/>
  <c r="O50" i="6"/>
  <c r="P57" i="87"/>
  <c r="M30" i="6"/>
  <c r="O68" i="15" s="1"/>
  <c r="N35" i="87"/>
  <c r="M35" i="41" l="1"/>
  <c r="O5" i="41"/>
  <c r="N22" i="41"/>
  <c r="N23" i="41"/>
  <c r="N24" i="41"/>
  <c r="N25" i="41"/>
  <c r="N27" i="41"/>
  <c r="N28" i="41"/>
  <c r="N29" i="41"/>
  <c r="N30" i="41"/>
  <c r="N31" i="41"/>
  <c r="N32" i="41"/>
  <c r="N33" i="41"/>
  <c r="N18" i="41"/>
  <c r="N19" i="41"/>
  <c r="N26" i="41"/>
  <c r="N20" i="41"/>
  <c r="N21" i="41"/>
  <c r="O42" i="6"/>
  <c r="P48" i="87"/>
  <c r="N8" i="6"/>
  <c r="O13" i="87"/>
  <c r="M29" i="87"/>
  <c r="M24" i="6" s="1"/>
  <c r="M17" i="6"/>
  <c r="N22" i="87"/>
  <c r="O49" i="87"/>
  <c r="N43" i="6"/>
  <c r="P70" i="15" s="1"/>
  <c r="M27" i="87"/>
  <c r="M22" i="6" s="1"/>
  <c r="M15" i="6"/>
  <c r="N20" i="87"/>
  <c r="N14" i="87"/>
  <c r="M9" i="6"/>
  <c r="O65" i="15" s="1"/>
  <c r="M10" i="6"/>
  <c r="N15" i="87"/>
  <c r="N37" i="6"/>
  <c r="P69" i="15" s="1"/>
  <c r="O42" i="87"/>
  <c r="O38" i="6"/>
  <c r="P43" i="87"/>
  <c r="N28" i="87"/>
  <c r="N23" i="6" s="1"/>
  <c r="P67" i="15" s="1"/>
  <c r="N16" i="6"/>
  <c r="P66" i="15" s="1"/>
  <c r="O21" i="87"/>
  <c r="M36" i="6"/>
  <c r="N41" i="87"/>
  <c r="P48" i="6"/>
  <c r="Q55" i="87"/>
  <c r="N49" i="6"/>
  <c r="P71" i="15" s="1"/>
  <c r="O56" i="87"/>
  <c r="N30" i="6"/>
  <c r="P68" i="15" s="1"/>
  <c r="O35" i="87"/>
  <c r="M29" i="6"/>
  <c r="N34" i="87"/>
  <c r="P50" i="6"/>
  <c r="Q57" i="87"/>
  <c r="N31" i="6"/>
  <c r="O36" i="87"/>
  <c r="N44" i="6"/>
  <c r="O50" i="87"/>
  <c r="N35" i="41" l="1"/>
  <c r="P5" i="41"/>
  <c r="O20" i="41"/>
  <c r="O23" i="41"/>
  <c r="O22" i="41"/>
  <c r="O27" i="41"/>
  <c r="O26" i="41"/>
  <c r="O31" i="41"/>
  <c r="O28" i="41"/>
  <c r="O25" i="41"/>
  <c r="O30" i="41"/>
  <c r="O33" i="41"/>
  <c r="O24" i="41"/>
  <c r="O19" i="41"/>
  <c r="O32" i="41"/>
  <c r="O18" i="41"/>
  <c r="O21" i="41"/>
  <c r="O29" i="41"/>
  <c r="P42" i="6"/>
  <c r="Q48" i="87"/>
  <c r="N10" i="6"/>
  <c r="O15" i="87"/>
  <c r="O43" i="6"/>
  <c r="Q70" i="15" s="1"/>
  <c r="P49" i="87"/>
  <c r="N9" i="6"/>
  <c r="P65" i="15" s="1"/>
  <c r="O14" i="87"/>
  <c r="N29" i="87"/>
  <c r="N24" i="6" s="1"/>
  <c r="O22" i="87"/>
  <c r="N17" i="6"/>
  <c r="N15" i="6"/>
  <c r="O20" i="87"/>
  <c r="N27" i="87"/>
  <c r="N22" i="6" s="1"/>
  <c r="O8" i="6"/>
  <c r="P13" i="87"/>
  <c r="O49" i="6"/>
  <c r="Q71" i="15" s="1"/>
  <c r="P56" i="87"/>
  <c r="P38" i="6"/>
  <c r="Q43" i="87"/>
  <c r="O44" i="6"/>
  <c r="P50" i="87"/>
  <c r="O37" i="6"/>
  <c r="Q69" i="15" s="1"/>
  <c r="P42" i="87"/>
  <c r="P36" i="87"/>
  <c r="O31" i="6"/>
  <c r="Q48" i="6"/>
  <c r="R55" i="87"/>
  <c r="N36" i="6"/>
  <c r="O41" i="87"/>
  <c r="N29" i="6"/>
  <c r="O34" i="87"/>
  <c r="P35" i="87"/>
  <c r="O30" i="6"/>
  <c r="Q68" i="15" s="1"/>
  <c r="Q50" i="6"/>
  <c r="R57" i="87"/>
  <c r="O28" i="87"/>
  <c r="O23" i="6" s="1"/>
  <c r="Q67" i="15" s="1"/>
  <c r="P21" i="87"/>
  <c r="O16" i="6"/>
  <c r="Q66" i="15" s="1"/>
  <c r="O35" i="41" l="1"/>
  <c r="Q5" i="41"/>
  <c r="P29" i="41"/>
  <c r="P28" i="41"/>
  <c r="P31" i="41"/>
  <c r="P30" i="41"/>
  <c r="P33" i="41"/>
  <c r="P19" i="41"/>
  <c r="P18" i="41"/>
  <c r="P20" i="41"/>
  <c r="P21" i="41"/>
  <c r="P23" i="41"/>
  <c r="P22" i="41"/>
  <c r="P25" i="41"/>
  <c r="P24" i="41"/>
  <c r="P27" i="41"/>
  <c r="P26" i="41"/>
  <c r="P32" i="41"/>
  <c r="Q42" i="6"/>
  <c r="R48" i="87"/>
  <c r="P43" i="6"/>
  <c r="R70" i="15" s="1"/>
  <c r="Q49" i="87"/>
  <c r="P8" i="6"/>
  <c r="Q13" i="87"/>
  <c r="O15" i="6"/>
  <c r="O27" i="87"/>
  <c r="O22" i="6" s="1"/>
  <c r="P20" i="87"/>
  <c r="P14" i="87"/>
  <c r="O9" i="6"/>
  <c r="Q65" i="15" s="1"/>
  <c r="O29" i="87"/>
  <c r="O24" i="6" s="1"/>
  <c r="O17" i="6"/>
  <c r="P22" i="87"/>
  <c r="O10" i="6"/>
  <c r="P15" i="87"/>
  <c r="P44" i="6"/>
  <c r="Q50" i="87"/>
  <c r="P31" i="6"/>
  <c r="Q36" i="87"/>
  <c r="Q38" i="6"/>
  <c r="R43" i="87"/>
  <c r="P28" i="87"/>
  <c r="P23" i="6" s="1"/>
  <c r="R67" i="15" s="1"/>
  <c r="P16" i="6"/>
  <c r="R66" i="15" s="1"/>
  <c r="Q21" i="87"/>
  <c r="P34" i="87"/>
  <c r="O29" i="6"/>
  <c r="Q42" i="87"/>
  <c r="P37" i="6"/>
  <c r="R69" i="15" s="1"/>
  <c r="R50" i="6"/>
  <c r="S57" i="87"/>
  <c r="O36" i="6"/>
  <c r="P41" i="87"/>
  <c r="P30" i="6"/>
  <c r="R68" i="15" s="1"/>
  <c r="Q35" i="87"/>
  <c r="R48" i="6"/>
  <c r="S55" i="87"/>
  <c r="P49" i="6"/>
  <c r="R71" i="15" s="1"/>
  <c r="Q56" i="87"/>
  <c r="R5" i="41" l="1"/>
  <c r="Q19" i="41"/>
  <c r="Q18" i="41"/>
  <c r="Q21" i="41"/>
  <c r="Q20" i="41"/>
  <c r="Q25" i="41"/>
  <c r="Q26" i="41"/>
  <c r="Q27" i="41"/>
  <c r="Q28" i="41"/>
  <c r="Q29" i="41"/>
  <c r="Q30" i="41"/>
  <c r="Q23" i="41"/>
  <c r="Q31" i="41"/>
  <c r="Q24" i="41"/>
  <c r="Q22" i="41"/>
  <c r="Q33" i="41"/>
  <c r="Q32" i="41"/>
  <c r="P35" i="41"/>
  <c r="S48" i="87"/>
  <c r="R42" i="6"/>
  <c r="P9" i="6"/>
  <c r="R65" i="15" s="1"/>
  <c r="Q14" i="87"/>
  <c r="Q20" i="87"/>
  <c r="P15" i="6"/>
  <c r="P27" i="87"/>
  <c r="P22" i="6" s="1"/>
  <c r="Q8" i="6"/>
  <c r="R13" i="87"/>
  <c r="P29" i="87"/>
  <c r="P24" i="6" s="1"/>
  <c r="P17" i="6"/>
  <c r="Q22" i="87"/>
  <c r="P10" i="6"/>
  <c r="Q15" i="87"/>
  <c r="Q43" i="6"/>
  <c r="S70" i="15" s="1"/>
  <c r="R49" i="87"/>
  <c r="T57" i="87"/>
  <c r="S50" i="6"/>
  <c r="Q37" i="6"/>
  <c r="S69" i="15" s="1"/>
  <c r="R42" i="87"/>
  <c r="Q31" i="6"/>
  <c r="R36" i="87"/>
  <c r="P29" i="6"/>
  <c r="Q34" i="87"/>
  <c r="Q44" i="6"/>
  <c r="R50" i="87"/>
  <c r="Q49" i="6"/>
  <c r="S71" i="15" s="1"/>
  <c r="R56" i="87"/>
  <c r="Q28" i="87"/>
  <c r="Q23" i="6" s="1"/>
  <c r="S67" i="15" s="1"/>
  <c r="Q16" i="6"/>
  <c r="S66" i="15" s="1"/>
  <c r="R21" i="87"/>
  <c r="R38" i="6"/>
  <c r="S43" i="87"/>
  <c r="T55" i="87"/>
  <c r="S48" i="6"/>
  <c r="P36" i="6"/>
  <c r="Q41" i="87"/>
  <c r="Q30" i="6"/>
  <c r="S68" i="15" s="1"/>
  <c r="R35" i="87"/>
  <c r="Q35" i="41" l="1"/>
  <c r="S5" i="41"/>
  <c r="R20" i="41"/>
  <c r="R21" i="41"/>
  <c r="R24" i="41"/>
  <c r="R22" i="41"/>
  <c r="R23" i="41"/>
  <c r="R26" i="41"/>
  <c r="R27" i="41"/>
  <c r="R28" i="41"/>
  <c r="R29" i="41"/>
  <c r="R30" i="41"/>
  <c r="R31" i="41"/>
  <c r="R32" i="41"/>
  <c r="R33" i="41"/>
  <c r="R18" i="41"/>
  <c r="R19" i="41"/>
  <c r="R25" i="41"/>
  <c r="T48" i="87"/>
  <c r="S42" i="6"/>
  <c r="R8" i="6"/>
  <c r="S13" i="87"/>
  <c r="R43" i="6"/>
  <c r="T70" i="15" s="1"/>
  <c r="S49" i="87"/>
  <c r="R15" i="87"/>
  <c r="Q10" i="6"/>
  <c r="Q27" i="87"/>
  <c r="Q22" i="6" s="1"/>
  <c r="Q15" i="6"/>
  <c r="R20" i="87"/>
  <c r="Q29" i="87"/>
  <c r="Q24" i="6" s="1"/>
  <c r="Q17" i="6"/>
  <c r="R22" i="87"/>
  <c r="Q9" i="6"/>
  <c r="S65" i="15" s="1"/>
  <c r="R14" i="87"/>
  <c r="R49" i="6"/>
  <c r="T71" i="15" s="1"/>
  <c r="S56" i="87"/>
  <c r="Q36" i="6"/>
  <c r="R41" i="87"/>
  <c r="R31" i="6"/>
  <c r="S36" i="87"/>
  <c r="U55" i="87"/>
  <c r="U48" i="6" s="1"/>
  <c r="T48" i="6"/>
  <c r="R44" i="6"/>
  <c r="S50" i="87"/>
  <c r="R37" i="6"/>
  <c r="T69" i="15" s="1"/>
  <c r="S42" i="87"/>
  <c r="Q29" i="6"/>
  <c r="R34" i="87"/>
  <c r="R30" i="6"/>
  <c r="T68" i="15" s="1"/>
  <c r="S35" i="87"/>
  <c r="S38" i="6"/>
  <c r="T43" i="87"/>
  <c r="R28" i="87"/>
  <c r="R23" i="6" s="1"/>
  <c r="T67" i="15" s="1"/>
  <c r="R16" i="6"/>
  <c r="T66" i="15" s="1"/>
  <c r="S21" i="87"/>
  <c r="T50" i="6"/>
  <c r="U57" i="87"/>
  <c r="U50" i="6" s="1"/>
  <c r="R35" i="41" l="1"/>
  <c r="T5" i="41"/>
  <c r="S26" i="41"/>
  <c r="S27" i="41"/>
  <c r="S28" i="41"/>
  <c r="S29" i="41"/>
  <c r="S21" i="41"/>
  <c r="S32" i="41"/>
  <c r="S19" i="41"/>
  <c r="S18" i="41"/>
  <c r="S20" i="41"/>
  <c r="S23" i="41"/>
  <c r="S31" i="41"/>
  <c r="S22" i="41"/>
  <c r="S25" i="41"/>
  <c r="S30" i="41"/>
  <c r="S24" i="41"/>
  <c r="S33" i="41"/>
  <c r="U48" i="87"/>
  <c r="U42" i="6" s="1"/>
  <c r="T42" i="6"/>
  <c r="S14" i="87"/>
  <c r="R9" i="6"/>
  <c r="T65" i="15" s="1"/>
  <c r="R10" i="6"/>
  <c r="S15" i="87"/>
  <c r="R29" i="87"/>
  <c r="R24" i="6" s="1"/>
  <c r="R17" i="6"/>
  <c r="S22" i="87"/>
  <c r="S43" i="6"/>
  <c r="U70" i="15" s="1"/>
  <c r="T49" i="87"/>
  <c r="T13" i="87"/>
  <c r="S8" i="6"/>
  <c r="R27" i="87"/>
  <c r="R22" i="6" s="1"/>
  <c r="R15" i="6"/>
  <c r="S20" i="87"/>
  <c r="T50" i="87"/>
  <c r="S44" i="6"/>
  <c r="S30" i="6"/>
  <c r="U68" i="15" s="1"/>
  <c r="T35" i="87"/>
  <c r="R29" i="6"/>
  <c r="S34" i="87"/>
  <c r="S28" i="87"/>
  <c r="S23" i="6" s="1"/>
  <c r="U67" i="15" s="1"/>
  <c r="S16" i="6"/>
  <c r="U66" i="15" s="1"/>
  <c r="T21" i="87"/>
  <c r="S49" i="6"/>
  <c r="U71" i="15" s="1"/>
  <c r="T56" i="87"/>
  <c r="S31" i="6"/>
  <c r="T36" i="87"/>
  <c r="U43" i="87"/>
  <c r="U38" i="6" s="1"/>
  <c r="T38" i="6"/>
  <c r="T42" i="87"/>
  <c r="S37" i="6"/>
  <c r="U69" i="15" s="1"/>
  <c r="R36" i="6"/>
  <c r="S41" i="87"/>
  <c r="S35" i="41" l="1"/>
  <c r="U5" i="41"/>
  <c r="T27" i="41"/>
  <c r="T26" i="41"/>
  <c r="T29" i="41"/>
  <c r="T28" i="41"/>
  <c r="T31" i="41"/>
  <c r="T33" i="41"/>
  <c r="T32" i="41"/>
  <c r="T19" i="41"/>
  <c r="T18" i="41"/>
  <c r="T30" i="41"/>
  <c r="T21" i="41"/>
  <c r="T20" i="41"/>
  <c r="T23" i="41"/>
  <c r="T22" i="41"/>
  <c r="T25" i="41"/>
  <c r="T24" i="41"/>
  <c r="T22" i="87"/>
  <c r="S17" i="6"/>
  <c r="S29" i="87"/>
  <c r="S24" i="6" s="1"/>
  <c r="T20" i="87"/>
  <c r="S27" i="87"/>
  <c r="S22" i="6" s="1"/>
  <c r="S15" i="6"/>
  <c r="U13" i="87"/>
  <c r="U8" i="6" s="1"/>
  <c r="T8" i="6"/>
  <c r="T15" i="87"/>
  <c r="S10" i="6"/>
  <c r="T43" i="6"/>
  <c r="V70" i="15" s="1"/>
  <c r="U49" i="87"/>
  <c r="U43" i="6" s="1"/>
  <c r="W70" i="15" s="1"/>
  <c r="S9" i="6"/>
  <c r="U65" i="15" s="1"/>
  <c r="T14" i="87"/>
  <c r="S36" i="6"/>
  <c r="T41" i="87"/>
  <c r="T31" i="6"/>
  <c r="U36" i="87"/>
  <c r="U31" i="6" s="1"/>
  <c r="T34" i="87"/>
  <c r="S29" i="6"/>
  <c r="T37" i="6"/>
  <c r="V69" i="15" s="1"/>
  <c r="U42" i="87"/>
  <c r="U37" i="6" s="1"/>
  <c r="U35" i="87"/>
  <c r="U30" i="6" s="1"/>
  <c r="W68" i="15" s="1"/>
  <c r="T30" i="6"/>
  <c r="V68" i="15" s="1"/>
  <c r="T49" i="6"/>
  <c r="V71" i="15" s="1"/>
  <c r="U56" i="87"/>
  <c r="U49" i="6" s="1"/>
  <c r="W71" i="15" s="1"/>
  <c r="T28" i="87"/>
  <c r="T23" i="6" s="1"/>
  <c r="V67" i="15" s="1"/>
  <c r="T16" i="6"/>
  <c r="V66" i="15" s="1"/>
  <c r="U21" i="87"/>
  <c r="T44" i="6"/>
  <c r="U50" i="87"/>
  <c r="U44" i="6" s="1"/>
  <c r="T35" i="41" l="1"/>
  <c r="V5" i="41"/>
  <c r="U19" i="41"/>
  <c r="U24" i="41"/>
  <c r="U30" i="41"/>
  <c r="U21" i="41"/>
  <c r="U32" i="41"/>
  <c r="U25" i="41"/>
  <c r="U26" i="41"/>
  <c r="U27" i="41"/>
  <c r="U23" i="41"/>
  <c r="U28" i="41"/>
  <c r="U18" i="41"/>
  <c r="U29" i="41"/>
  <c r="U20" i="41"/>
  <c r="U31" i="41"/>
  <c r="U22" i="41"/>
  <c r="U33" i="41"/>
  <c r="T9" i="6"/>
  <c r="V65" i="15" s="1"/>
  <c r="U14" i="87"/>
  <c r="U9" i="6" s="1"/>
  <c r="W65" i="15" s="1"/>
  <c r="T27" i="87"/>
  <c r="T22" i="6" s="1"/>
  <c r="U20" i="87"/>
  <c r="T15" i="6"/>
  <c r="T10" i="6"/>
  <c r="U15" i="87"/>
  <c r="U10" i="6" s="1"/>
  <c r="T29" i="87"/>
  <c r="T24" i="6" s="1"/>
  <c r="U22" i="87"/>
  <c r="T17" i="6"/>
  <c r="T29" i="6"/>
  <c r="U34" i="87"/>
  <c r="U29" i="6" s="1"/>
  <c r="U16" i="6"/>
  <c r="W66" i="15" s="1"/>
  <c r="U28" i="87"/>
  <c r="U23" i="6" s="1"/>
  <c r="W67" i="15" s="1"/>
  <c r="T36" i="6"/>
  <c r="U41" i="87"/>
  <c r="U36" i="6" s="1"/>
  <c r="W69" i="15" s="1"/>
  <c r="U35" i="41" l="1"/>
  <c r="W5" i="41"/>
  <c r="V22" i="41"/>
  <c r="V24" i="41"/>
  <c r="V25" i="41"/>
  <c r="V27" i="41"/>
  <c r="V28" i="41"/>
  <c r="V29" i="41"/>
  <c r="V30" i="41"/>
  <c r="V31" i="41"/>
  <c r="V32" i="41"/>
  <c r="V33" i="41"/>
  <c r="V18" i="41"/>
  <c r="V19" i="41"/>
  <c r="V20" i="41"/>
  <c r="V21" i="41"/>
  <c r="V23" i="41"/>
  <c r="V26" i="41"/>
  <c r="U15" i="6"/>
  <c r="U27" i="87"/>
  <c r="U22" i="6" s="1"/>
  <c r="U29" i="87"/>
  <c r="U24" i="6" s="1"/>
  <c r="U17" i="6"/>
  <c r="D170" i="15" a="1"/>
  <c r="D170" i="15" s="1"/>
  <c r="D79" i="15" a="1"/>
  <c r="V35" i="41" l="1"/>
  <c r="W20" i="41"/>
  <c r="W22" i="41"/>
  <c r="W31" i="41"/>
  <c r="W26" i="41"/>
  <c r="W25" i="41"/>
  <c r="W28" i="41"/>
  <c r="W33" i="41"/>
  <c r="D41" i="41" s="1" a="1"/>
  <c r="D41" i="41" s="1"/>
  <c r="W30" i="41"/>
  <c r="W29" i="41"/>
  <c r="W32" i="41"/>
  <c r="W24" i="41"/>
  <c r="W27" i="41"/>
  <c r="W18" i="41"/>
  <c r="W19" i="41"/>
  <c r="W21" i="41"/>
  <c r="W23" i="41"/>
  <c r="P93" i="15"/>
  <c r="H94" i="15"/>
  <c r="M96" i="15"/>
  <c r="V93" i="15"/>
  <c r="H93" i="15"/>
  <c r="R90" i="15"/>
  <c r="E95" i="15"/>
  <c r="T92" i="15"/>
  <c r="S92" i="15"/>
  <c r="R91" i="15"/>
  <c r="J92" i="15"/>
  <c r="D79" i="15"/>
  <c r="D145" i="15" s="1" a="1"/>
  <c r="D145" i="15" s="1"/>
  <c r="Q96" i="15"/>
  <c r="N94" i="15"/>
  <c r="E92" i="15"/>
  <c r="K95" i="15"/>
  <c r="J95" i="15"/>
  <c r="H92" i="15"/>
  <c r="D96" i="15"/>
  <c r="Q91" i="15"/>
  <c r="N96" i="15"/>
  <c r="O95" i="15"/>
  <c r="I90" i="15"/>
  <c r="R96" i="15"/>
  <c r="G90" i="15"/>
  <c r="W94" i="15"/>
  <c r="M90" i="15"/>
  <c r="E91" i="15"/>
  <c r="O96" i="15"/>
  <c r="W90" i="15"/>
  <c r="G94" i="15"/>
  <c r="K91" i="15"/>
  <c r="K90" i="15"/>
  <c r="F95" i="15"/>
  <c r="Q95" i="15"/>
  <c r="W92" i="15"/>
  <c r="T96" i="15"/>
  <c r="I92" i="15"/>
  <c r="L95" i="15"/>
  <c r="P92" i="15"/>
  <c r="J90" i="15"/>
  <c r="E96" i="15"/>
  <c r="N93" i="15"/>
  <c r="P96" i="15"/>
  <c r="T93" i="15"/>
  <c r="L94" i="15"/>
  <c r="U96" i="15"/>
  <c r="K94" i="15"/>
  <c r="F93" i="15"/>
  <c r="R94" i="15"/>
  <c r="F92" i="15"/>
  <c r="I93" i="15"/>
  <c r="M94" i="15"/>
  <c r="E93" i="15"/>
  <c r="G96" i="15"/>
  <c r="P95" i="15"/>
  <c r="S93" i="15"/>
  <c r="W95" i="15"/>
  <c r="K93" i="15"/>
  <c r="M91" i="15"/>
  <c r="O91" i="15"/>
  <c r="S91" i="15"/>
  <c r="K92" i="15"/>
  <c r="G92" i="15"/>
  <c r="R92" i="15"/>
  <c r="S90" i="15"/>
  <c r="U92" i="15"/>
  <c r="L90" i="15"/>
  <c r="E90" i="15"/>
  <c r="P90" i="15"/>
  <c r="S95" i="15"/>
  <c r="G91" i="15"/>
  <c r="N91" i="15"/>
  <c r="U90" i="15"/>
  <c r="H96" i="15"/>
  <c r="M95" i="15"/>
  <c r="H91" i="15"/>
  <c r="L96" i="15"/>
  <c r="T91" i="15"/>
  <c r="M93" i="15"/>
  <c r="O90" i="15"/>
  <c r="J94" i="15"/>
  <c r="Q94" i="15"/>
  <c r="H95" i="15"/>
  <c r="V92" i="15"/>
  <c r="L93" i="15"/>
  <c r="W93" i="15"/>
  <c r="M92" i="15"/>
  <c r="N90" i="15"/>
  <c r="F94" i="15"/>
  <c r="I94" i="15"/>
  <c r="T94" i="15"/>
  <c r="K96" i="15"/>
  <c r="L91" i="15"/>
  <c r="D91" i="15"/>
  <c r="G95" i="15"/>
  <c r="N92" i="15"/>
  <c r="H90" i="15"/>
  <c r="N95" i="15"/>
  <c r="D93" i="15"/>
  <c r="V96" i="15"/>
  <c r="Q92" i="15"/>
  <c r="T95" i="15"/>
  <c r="Q93" i="15"/>
  <c r="U91" i="15"/>
  <c r="D94" i="15"/>
  <c r="G93" i="15"/>
  <c r="T90" i="15"/>
  <c r="R93" i="15"/>
  <c r="I95" i="15"/>
  <c r="J96" i="15"/>
  <c r="V95" i="15"/>
  <c r="E94" i="15"/>
  <c r="F91" i="15"/>
  <c r="Q90" i="15"/>
  <c r="U93" i="15"/>
  <c r="I91" i="15"/>
  <c r="W91" i="15"/>
  <c r="V91" i="15"/>
  <c r="F96" i="15"/>
  <c r="S94" i="15"/>
  <c r="I96" i="15"/>
  <c r="L92" i="15"/>
  <c r="U95" i="15"/>
  <c r="O93" i="15"/>
  <c r="V94" i="15"/>
  <c r="U94" i="15"/>
  <c r="W96" i="15"/>
  <c r="D92" i="15"/>
  <c r="F90" i="15"/>
  <c r="O94" i="15"/>
  <c r="R95" i="15"/>
  <c r="P94" i="15"/>
  <c r="V90" i="15"/>
  <c r="D95" i="15"/>
  <c r="J91" i="15"/>
  <c r="S96" i="15"/>
  <c r="J93" i="15"/>
  <c r="P91" i="15"/>
  <c r="O92" i="15"/>
  <c r="E24" i="95" a="1"/>
  <c r="E24" i="95" s="1"/>
  <c r="E13" i="95" a="1"/>
  <c r="E13" i="95" s="1"/>
  <c r="E14" i="95" s="1" a="1"/>
  <c r="E14" i="95" s="1"/>
  <c r="D14" i="95" s="1"/>
  <c r="E25" i="95" a="1"/>
  <c r="E25" i="95" s="1"/>
  <c r="E26" i="95" s="1" a="1"/>
  <c r="E26" i="95" s="1"/>
  <c r="D26" i="95" s="1"/>
  <c r="E12" i="95" a="1"/>
  <c r="E12" i="95" s="1"/>
  <c r="M58" i="41" l="1"/>
  <c r="K58" i="41"/>
  <c r="P58" i="41"/>
  <c r="H58" i="41"/>
  <c r="R58" i="41"/>
  <c r="J58" i="41"/>
  <c r="W58" i="41"/>
  <c r="L58" i="41"/>
  <c r="E58" i="41"/>
  <c r="D58" i="41"/>
  <c r="F58" i="41"/>
  <c r="S58" i="41"/>
  <c r="N58" i="41"/>
  <c r="O58" i="41"/>
  <c r="T58" i="41"/>
  <c r="Q58" i="41"/>
  <c r="V58" i="41"/>
  <c r="I58" i="41"/>
  <c r="G58" i="41"/>
  <c r="U58" i="41"/>
  <c r="W35" i="41"/>
  <c r="D90" i="15"/>
  <c r="D103" i="15" a="1"/>
  <c r="D157" i="15" l="1" a="1"/>
  <c r="D157" i="15" s="1"/>
  <c r="D165" i="15" s="1"/>
  <c r="N111" i="15"/>
  <c r="E111" i="15"/>
  <c r="H121" i="15"/>
  <c r="G117" i="15"/>
  <c r="L121" i="15"/>
  <c r="E119" i="15"/>
  <c r="V120" i="15"/>
  <c r="Q122" i="15"/>
  <c r="H117" i="15"/>
  <c r="S122" i="15"/>
  <c r="D117" i="15"/>
  <c r="S118" i="15"/>
  <c r="R122" i="15"/>
  <c r="L118" i="15"/>
  <c r="D103" i="15"/>
  <c r="Q120" i="15"/>
  <c r="K120" i="15"/>
  <c r="P122" i="15"/>
  <c r="V119" i="15"/>
  <c r="U116" i="15"/>
  <c r="G121" i="15"/>
  <c r="H119" i="15"/>
  <c r="F120" i="15"/>
  <c r="V121" i="15"/>
  <c r="Q121" i="15"/>
  <c r="J121" i="15"/>
  <c r="S111" i="15"/>
  <c r="S119" i="15"/>
  <c r="F117" i="15"/>
  <c r="S117" i="15"/>
  <c r="K118" i="15"/>
  <c r="M119" i="15"/>
  <c r="W117" i="15"/>
  <c r="U118" i="15"/>
  <c r="H111" i="15"/>
  <c r="K111" i="15"/>
  <c r="M111" i="15"/>
  <c r="P120" i="15"/>
  <c r="J120" i="15"/>
  <c r="F121" i="15"/>
  <c r="N116" i="15"/>
  <c r="I117" i="15"/>
  <c r="V117" i="15"/>
  <c r="H116" i="15"/>
  <c r="K122" i="15"/>
  <c r="T121" i="15"/>
  <c r="U121" i="15"/>
  <c r="U111" i="15"/>
  <c r="M117" i="15"/>
  <c r="F119" i="15"/>
  <c r="T111" i="15"/>
  <c r="K117" i="15"/>
  <c r="P119" i="15"/>
  <c r="J111" i="15"/>
  <c r="L111" i="15"/>
  <c r="F111" i="15"/>
  <c r="O118" i="15"/>
  <c r="H118" i="15"/>
  <c r="N122" i="15"/>
  <c r="F118" i="15"/>
  <c r="L120" i="15"/>
  <c r="S121" i="15"/>
  <c r="V116" i="15"/>
  <c r="W116" i="15"/>
  <c r="N118" i="15"/>
  <c r="N121" i="15"/>
  <c r="N117" i="15"/>
  <c r="O121" i="15"/>
  <c r="U119" i="15"/>
  <c r="K121" i="15"/>
  <c r="J119" i="15"/>
  <c r="W119" i="15"/>
  <c r="T119" i="15"/>
  <c r="O111" i="15"/>
  <c r="O120" i="15"/>
  <c r="S120" i="15"/>
  <c r="O119" i="15"/>
  <c r="Q117" i="15"/>
  <c r="I111" i="15"/>
  <c r="V111" i="15"/>
  <c r="F122" i="15"/>
  <c r="M116" i="15"/>
  <c r="I116" i="15"/>
  <c r="J116" i="15"/>
  <c r="N119" i="15"/>
  <c r="T118" i="15"/>
  <c r="H120" i="15"/>
  <c r="R121" i="15"/>
  <c r="G122" i="15"/>
  <c r="I119" i="15"/>
  <c r="G116" i="15"/>
  <c r="T116" i="15"/>
  <c r="M121" i="15"/>
  <c r="M122" i="15"/>
  <c r="U120" i="15"/>
  <c r="G118" i="15"/>
  <c r="Q119" i="15"/>
  <c r="G120" i="15"/>
  <c r="E120" i="15"/>
  <c r="Q116" i="15"/>
  <c r="I118" i="15"/>
  <c r="Q111" i="15"/>
  <c r="G111" i="15"/>
  <c r="H122" i="15"/>
  <c r="E118" i="15"/>
  <c r="R116" i="15"/>
  <c r="T117" i="15"/>
  <c r="S116" i="15"/>
  <c r="L122" i="15"/>
  <c r="I121" i="15"/>
  <c r="R119" i="15"/>
  <c r="J122" i="15"/>
  <c r="R120" i="15"/>
  <c r="E122" i="15"/>
  <c r="U117" i="15"/>
  <c r="K119" i="15"/>
  <c r="W122" i="15"/>
  <c r="P121" i="15"/>
  <c r="O116" i="15"/>
  <c r="D121" i="15"/>
  <c r="N120" i="15"/>
  <c r="P116" i="15"/>
  <c r="O122" i="15"/>
  <c r="W121" i="15"/>
  <c r="E116" i="15"/>
  <c r="U122" i="15"/>
  <c r="K116" i="15"/>
  <c r="P111" i="15"/>
  <c r="R117" i="15"/>
  <c r="P117" i="15"/>
  <c r="W118" i="15"/>
  <c r="F116" i="15"/>
  <c r="I122" i="15"/>
  <c r="T122" i="15"/>
  <c r="W120" i="15"/>
  <c r="R111" i="15"/>
  <c r="W111" i="15"/>
  <c r="J117" i="15"/>
  <c r="D119" i="15"/>
  <c r="I120" i="15"/>
  <c r="V118" i="15"/>
  <c r="P118" i="15"/>
  <c r="V122" i="15"/>
  <c r="L116" i="15"/>
  <c r="R118" i="15"/>
  <c r="D118" i="15"/>
  <c r="O117" i="15"/>
  <c r="J118" i="15"/>
  <c r="G119" i="15"/>
  <c r="L117" i="15"/>
  <c r="D122" i="15"/>
  <c r="M120" i="15"/>
  <c r="M118" i="15"/>
  <c r="E117" i="15"/>
  <c r="T120" i="15"/>
  <c r="Q118" i="15"/>
  <c r="L119" i="15"/>
  <c r="E121" i="15"/>
  <c r="D120" i="15"/>
  <c r="S153" i="15"/>
  <c r="M153" i="15"/>
  <c r="D153" i="15"/>
  <c r="W153" i="15"/>
  <c r="P153" i="15"/>
  <c r="U153" i="15"/>
  <c r="R153" i="15"/>
  <c r="H153" i="15"/>
  <c r="I153" i="15"/>
  <c r="L153" i="15"/>
  <c r="N153" i="15"/>
  <c r="Q153" i="15"/>
  <c r="T153" i="15"/>
  <c r="V153" i="15"/>
  <c r="K153" i="15"/>
  <c r="E153" i="15"/>
  <c r="G153" i="15"/>
  <c r="J153" i="15"/>
  <c r="O153" i="15"/>
  <c r="F153" i="15"/>
  <c r="F165" i="15" l="1"/>
  <c r="H165" i="15"/>
  <c r="W165" i="15"/>
  <c r="L165" i="15"/>
  <c r="I165" i="15"/>
  <c r="N165" i="15"/>
  <c r="K165" i="15"/>
  <c r="P165" i="15"/>
  <c r="O165" i="15"/>
  <c r="S165" i="15"/>
  <c r="T165" i="15"/>
  <c r="R165" i="15"/>
  <c r="J165" i="15"/>
  <c r="E165" i="15"/>
  <c r="V165" i="15"/>
  <c r="M165" i="15"/>
  <c r="Q165" i="15"/>
  <c r="U165" i="15"/>
  <c r="G165" i="15"/>
  <c r="L124" i="15"/>
  <c r="O124" i="15"/>
  <c r="W124" i="15"/>
  <c r="K124" i="15"/>
  <c r="V124" i="15"/>
  <c r="D111" i="15"/>
  <c r="D116" i="15"/>
  <c r="D124" i="15" s="1"/>
  <c r="D130" i="15" a="1"/>
  <c r="E124" i="15"/>
  <c r="F124" i="15"/>
  <c r="S124" i="15"/>
  <c r="Q124" i="15"/>
  <c r="T124" i="15"/>
  <c r="J124" i="15"/>
  <c r="H124" i="15"/>
  <c r="U124" i="15"/>
  <c r="G124" i="15"/>
  <c r="I124" i="15"/>
  <c r="D30" i="35" a="1"/>
  <c r="D31" i="35" a="1"/>
  <c r="Z153" i="15" a="1"/>
  <c r="Z153" i="15" s="1"/>
  <c r="P124" i="15"/>
  <c r="R124" i="15"/>
  <c r="M124" i="15"/>
  <c r="N124" i="15"/>
  <c r="D26" i="35" l="1" a="1"/>
  <c r="D26" i="35" s="1"/>
  <c r="D16" i="35" a="1"/>
  <c r="D16" i="35" s="1"/>
  <c r="Z165" i="15" a="1"/>
  <c r="Z165" i="15" s="1"/>
  <c r="Z16" i="35" s="1" a="1"/>
  <c r="D17" i="35" a="1"/>
  <c r="D17" i="35" s="1"/>
  <c r="D29" i="35" a="1"/>
  <c r="D29" i="35" s="1"/>
  <c r="D27" i="35" a="1"/>
  <c r="D27" i="35" s="1"/>
  <c r="D28" i="35" a="1"/>
  <c r="D28" i="35" s="1"/>
  <c r="D30" i="35"/>
  <c r="D31" i="35"/>
  <c r="L138" i="15"/>
  <c r="Q138" i="15"/>
  <c r="T138" i="15"/>
  <c r="F138" i="15"/>
  <c r="O138" i="15"/>
  <c r="K138" i="15"/>
  <c r="W138" i="15"/>
  <c r="N138" i="15"/>
  <c r="J138" i="15"/>
  <c r="D130" i="15"/>
  <c r="D138" i="15" s="1"/>
  <c r="M138" i="15"/>
  <c r="S138" i="15"/>
  <c r="U138" i="15"/>
  <c r="I138" i="15"/>
  <c r="G138" i="15"/>
  <c r="V138" i="15"/>
  <c r="H138" i="15"/>
  <c r="P138" i="15"/>
  <c r="E138" i="15"/>
  <c r="R138" i="15"/>
  <c r="Z124" i="15" a="1"/>
  <c r="Z124" i="15" s="1"/>
  <c r="D19" i="35" a="1"/>
  <c r="D18" i="35" a="1"/>
  <c r="Z111" i="15" a="1"/>
  <c r="Z111" i="15" s="1"/>
  <c r="Z30" i="35" a="1"/>
  <c r="Z26" i="35" a="1"/>
  <c r="Z31" i="35" a="1"/>
  <c r="Z28" i="35" a="1"/>
  <c r="Z27" i="35" a="1"/>
  <c r="Z29" i="35" a="1"/>
  <c r="Z17" i="35" a="1"/>
  <c r="Z30" i="35" l="1"/>
  <c r="D111" i="35"/>
  <c r="D44" i="35"/>
  <c r="Z17" i="35"/>
  <c r="Z29" i="35"/>
  <c r="D53" i="35"/>
  <c r="D120" i="35"/>
  <c r="D54" i="35"/>
  <c r="D121" i="35"/>
  <c r="Z27" i="35"/>
  <c r="Z28" i="35"/>
  <c r="D123" i="35"/>
  <c r="D56" i="35"/>
  <c r="D122" i="35"/>
  <c r="D55" i="35"/>
  <c r="Z138" i="15" a="1"/>
  <c r="Z138" i="15" s="1"/>
  <c r="Z24" i="35" s="1" a="1"/>
  <c r="Z24" i="35" s="1"/>
  <c r="D20" i="35" a="1"/>
  <c r="D22" i="35" a="1"/>
  <c r="D24" i="35" a="1"/>
  <c r="D25" i="35" a="1"/>
  <c r="D23" i="35" a="1"/>
  <c r="D21" i="35" a="1"/>
  <c r="Z16" i="35"/>
  <c r="Z19" i="35" a="1"/>
  <c r="Z18" i="35" a="1"/>
  <c r="D43" i="35"/>
  <c r="D110" i="35"/>
  <c r="Z31" i="35"/>
  <c r="D18" i="35"/>
  <c r="D57" i="35"/>
  <c r="D124" i="35"/>
  <c r="Z26" i="35"/>
  <c r="D19" i="35"/>
  <c r="D125" i="35"/>
  <c r="D58" i="35"/>
  <c r="D25" i="35" l="1"/>
  <c r="Z122" i="35"/>
  <c r="AV122" i="35" s="1"/>
  <c r="Z55" i="35"/>
  <c r="AV55" i="35" s="1"/>
  <c r="D113" i="35"/>
  <c r="D46" i="35"/>
  <c r="D24" i="35"/>
  <c r="Z54" i="35"/>
  <c r="Z121" i="35"/>
  <c r="AV121" i="35" s="1"/>
  <c r="Z44" i="35"/>
  <c r="Z111" i="35"/>
  <c r="AV111" i="35" s="1"/>
  <c r="Z120" i="35"/>
  <c r="AV120" i="35" s="1"/>
  <c r="Z53" i="35"/>
  <c r="K65" i="35"/>
  <c r="D87" i="35"/>
  <c r="D22" i="35"/>
  <c r="D88" i="35"/>
  <c r="K66" i="35"/>
  <c r="D20" i="35"/>
  <c r="D98" i="35"/>
  <c r="K76" i="35"/>
  <c r="Z58" i="35"/>
  <c r="AV58" i="35" s="1"/>
  <c r="Z125" i="35"/>
  <c r="AV125" i="35" s="1"/>
  <c r="Z19" i="35"/>
  <c r="Z20" i="35" a="1"/>
  <c r="Z25" i="35" a="1"/>
  <c r="Z23" i="35" a="1"/>
  <c r="Z22" i="35" a="1"/>
  <c r="Z21" i="35" a="1"/>
  <c r="Z18" i="35"/>
  <c r="D102" i="35"/>
  <c r="K80" i="35"/>
  <c r="K79" i="35"/>
  <c r="D101" i="35"/>
  <c r="Z43" i="35"/>
  <c r="AV43" i="35" s="1"/>
  <c r="Z110" i="35"/>
  <c r="AV110" i="35" s="1"/>
  <c r="K77" i="35"/>
  <c r="D99" i="35"/>
  <c r="K75" i="35"/>
  <c r="AV53" i="35"/>
  <c r="D97" i="35"/>
  <c r="D112" i="35"/>
  <c r="D45" i="35"/>
  <c r="D21" i="35"/>
  <c r="Z56" i="35"/>
  <c r="Z123" i="35"/>
  <c r="AV123" i="35" s="1"/>
  <c r="Z57" i="35"/>
  <c r="Z124" i="35"/>
  <c r="AV124" i="35" s="1"/>
  <c r="D23" i="35"/>
  <c r="K78" i="35"/>
  <c r="D100" i="35"/>
  <c r="Z101" i="35" l="1"/>
  <c r="AG79" i="35"/>
  <c r="Z45" i="35"/>
  <c r="Z112" i="35"/>
  <c r="D118" i="35"/>
  <c r="D51" i="35"/>
  <c r="AV57" i="35"/>
  <c r="Z21" i="35"/>
  <c r="E44" i="35"/>
  <c r="D90" i="35"/>
  <c r="K68" i="35"/>
  <c r="E56" i="35"/>
  <c r="AV56" i="35"/>
  <c r="AG78" i="35"/>
  <c r="Z100" i="35"/>
  <c r="E57" i="35"/>
  <c r="Z22" i="35"/>
  <c r="Z102" i="35"/>
  <c r="AG80" i="35"/>
  <c r="AV44" i="35"/>
  <c r="AG66" i="35"/>
  <c r="Z88" i="35"/>
  <c r="E55" i="35"/>
  <c r="Z23" i="35"/>
  <c r="D116" i="35"/>
  <c r="D49" i="35"/>
  <c r="Z99" i="35"/>
  <c r="AG77" i="35"/>
  <c r="D48" i="35"/>
  <c r="D115" i="35"/>
  <c r="Z25" i="35"/>
  <c r="E54" i="35"/>
  <c r="AV54" i="35"/>
  <c r="Z98" i="35"/>
  <c r="AG76" i="35"/>
  <c r="Z20" i="35"/>
  <c r="E43" i="35"/>
  <c r="E110" i="35" s="1"/>
  <c r="Z46" i="35"/>
  <c r="AV46" i="35" s="1"/>
  <c r="Z113" i="35"/>
  <c r="AV113" i="35" s="1"/>
  <c r="E53" i="35"/>
  <c r="D50" i="35"/>
  <c r="D117" i="35"/>
  <c r="K67" i="35"/>
  <c r="D89" i="35"/>
  <c r="E58" i="35"/>
  <c r="E125" i="35" s="1"/>
  <c r="AV112" i="35"/>
  <c r="AG65" i="35"/>
  <c r="Z87" i="35"/>
  <c r="D114" i="35"/>
  <c r="D47" i="35"/>
  <c r="Z97" i="35"/>
  <c r="AG75" i="35"/>
  <c r="D52" i="35"/>
  <c r="D119" i="35"/>
  <c r="E122" i="35" l="1"/>
  <c r="L77" i="35"/>
  <c r="K74" i="35"/>
  <c r="D96" i="35"/>
  <c r="L75" i="35"/>
  <c r="Z90" i="35"/>
  <c r="AG68" i="35"/>
  <c r="L76" i="35"/>
  <c r="E99" i="35"/>
  <c r="E101" i="35"/>
  <c r="L79" i="35"/>
  <c r="K72" i="35"/>
  <c r="D94" i="35"/>
  <c r="L80" i="35"/>
  <c r="E120" i="35"/>
  <c r="E87" i="35"/>
  <c r="L65" i="35"/>
  <c r="E98" i="35"/>
  <c r="AA55" i="35"/>
  <c r="AH77" i="35" s="1"/>
  <c r="AA44" i="35"/>
  <c r="AH66" i="35" s="1"/>
  <c r="E124" i="35"/>
  <c r="E46" i="35"/>
  <c r="K73" i="35"/>
  <c r="D95" i="35"/>
  <c r="Z48" i="35"/>
  <c r="AV48" i="35" s="1"/>
  <c r="Z115" i="35"/>
  <c r="AV115" i="35" s="1"/>
  <c r="AA53" i="35"/>
  <c r="AH75" i="35" s="1"/>
  <c r="E97" i="35"/>
  <c r="E121" i="35"/>
  <c r="D93" i="35"/>
  <c r="K71" i="35"/>
  <c r="AA56" i="35"/>
  <c r="AH78" i="35" s="1"/>
  <c r="L66" i="35"/>
  <c r="D92" i="35"/>
  <c r="K70" i="35"/>
  <c r="Z116" i="35"/>
  <c r="AV116" i="35" s="1"/>
  <c r="Z49" i="35"/>
  <c r="AV49" i="35" s="1"/>
  <c r="K69" i="35"/>
  <c r="D91" i="35"/>
  <c r="E102" i="35"/>
  <c r="E88" i="35"/>
  <c r="E45" i="35"/>
  <c r="Z47" i="35"/>
  <c r="AV47" i="35" s="1"/>
  <c r="Z114" i="35"/>
  <c r="AV114" i="35" s="1"/>
  <c r="E111" i="35"/>
  <c r="AV45" i="35"/>
  <c r="Z89" i="35"/>
  <c r="AG67" i="35"/>
  <c r="Z52" i="35"/>
  <c r="AV52" i="35" s="1"/>
  <c r="Z119" i="35"/>
  <c r="AV119" i="35" s="1"/>
  <c r="AA58" i="35"/>
  <c r="AH80" i="35" s="1"/>
  <c r="E100" i="35"/>
  <c r="L78" i="35"/>
  <c r="AA43" i="35"/>
  <c r="AH65" i="35" s="1"/>
  <c r="Z51" i="35"/>
  <c r="AV51" i="35" s="1"/>
  <c r="Z118" i="35"/>
  <c r="AV118" i="35" s="1"/>
  <c r="AA54" i="35"/>
  <c r="AH76" i="35" s="1"/>
  <c r="Z50" i="35"/>
  <c r="Z117" i="35"/>
  <c r="AV117" i="35" s="1"/>
  <c r="E123" i="35"/>
  <c r="AA57" i="35"/>
  <c r="AH79" i="35" s="1"/>
  <c r="AA98" i="35" l="1"/>
  <c r="AB54" i="35" s="1"/>
  <c r="AI76" i="35" s="1"/>
  <c r="AW53" i="35"/>
  <c r="AA97" i="35"/>
  <c r="AB53" i="35" s="1"/>
  <c r="AA123" i="35"/>
  <c r="AW123" i="35" s="1"/>
  <c r="AW43" i="35"/>
  <c r="AA45" i="35"/>
  <c r="AH67" i="35" s="1"/>
  <c r="F56" i="35"/>
  <c r="F123" i="35" s="1"/>
  <c r="F44" i="35"/>
  <c r="F111" i="35" s="1"/>
  <c r="F58" i="35"/>
  <c r="F125" i="35" s="1"/>
  <c r="E48" i="35"/>
  <c r="E49" i="35"/>
  <c r="Z92" i="35"/>
  <c r="AG70" i="35"/>
  <c r="AA88" i="35"/>
  <c r="F43" i="35"/>
  <c r="F57" i="35"/>
  <c r="F124" i="35" s="1"/>
  <c r="AA124" i="35"/>
  <c r="AW124" i="35" s="1"/>
  <c r="Z95" i="35"/>
  <c r="AG73" i="35"/>
  <c r="AA125" i="35"/>
  <c r="AW125" i="35" s="1"/>
  <c r="AW44" i="35"/>
  <c r="AA111" i="35"/>
  <c r="AW111" i="35" s="1"/>
  <c r="F55" i="35"/>
  <c r="F99" i="35" s="1"/>
  <c r="E52" i="35"/>
  <c r="AA102" i="35"/>
  <c r="Z91" i="35"/>
  <c r="AG69" i="35"/>
  <c r="E47" i="35"/>
  <c r="E91" i="35" s="1"/>
  <c r="F53" i="35"/>
  <c r="E51" i="35"/>
  <c r="AW58" i="35"/>
  <c r="AW54" i="35"/>
  <c r="AA101" i="35"/>
  <c r="AV50" i="35"/>
  <c r="AG72" i="35"/>
  <c r="Z94" i="35"/>
  <c r="AA87" i="35"/>
  <c r="E89" i="35"/>
  <c r="L67" i="35"/>
  <c r="AA122" i="35"/>
  <c r="AW122" i="35" s="1"/>
  <c r="AW55" i="35"/>
  <c r="AA110" i="35"/>
  <c r="AW110" i="35" s="1"/>
  <c r="Z96" i="35"/>
  <c r="AG74" i="35"/>
  <c r="E112" i="35"/>
  <c r="AG71" i="35"/>
  <c r="Z93" i="35"/>
  <c r="E113" i="35"/>
  <c r="L68" i="35"/>
  <c r="AA99" i="35"/>
  <c r="E50" i="35"/>
  <c r="AW57" i="35"/>
  <c r="AA121" i="35"/>
  <c r="AW121" i="35" s="1"/>
  <c r="AW56" i="35"/>
  <c r="AA100" i="35"/>
  <c r="AA120" i="35"/>
  <c r="AW120" i="35" s="1"/>
  <c r="E90" i="35"/>
  <c r="F54" i="35"/>
  <c r="AA46" i="35"/>
  <c r="AA90" i="35" s="1"/>
  <c r="E114" i="35" l="1"/>
  <c r="AA113" i="35"/>
  <c r="AW113" i="35" s="1"/>
  <c r="F102" i="35"/>
  <c r="G58" i="35" s="1"/>
  <c r="G125" i="35" s="1"/>
  <c r="AI75" i="35"/>
  <c r="AB120" i="35"/>
  <c r="AB97" i="35"/>
  <c r="AC53" i="35" s="1"/>
  <c r="AW45" i="35"/>
  <c r="AA49" i="35"/>
  <c r="AH71" i="35" s="1"/>
  <c r="L71" i="35"/>
  <c r="F47" i="35"/>
  <c r="F114" i="35" s="1"/>
  <c r="F101" i="35"/>
  <c r="E116" i="35"/>
  <c r="M66" i="35"/>
  <c r="L72" i="35"/>
  <c r="F45" i="35"/>
  <c r="F112" i="35" s="1"/>
  <c r="E93" i="35"/>
  <c r="F121" i="35"/>
  <c r="M76" i="35"/>
  <c r="AX54" i="35"/>
  <c r="F98" i="35"/>
  <c r="E94" i="35"/>
  <c r="AB43" i="35"/>
  <c r="AX43" i="35" s="1"/>
  <c r="E118" i="35"/>
  <c r="L73" i="35"/>
  <c r="AA47" i="35"/>
  <c r="AH69" i="35" s="1"/>
  <c r="F87" i="35"/>
  <c r="M65" i="35"/>
  <c r="L70" i="35"/>
  <c r="F88" i="35"/>
  <c r="AA112" i="35"/>
  <c r="AW112" i="35" s="1"/>
  <c r="G55" i="35"/>
  <c r="F46" i="35"/>
  <c r="F90" i="35" s="1"/>
  <c r="E117" i="35"/>
  <c r="AA52" i="35"/>
  <c r="AH74" i="35" s="1"/>
  <c r="AA50" i="35"/>
  <c r="AH72" i="35" s="1"/>
  <c r="E95" i="35"/>
  <c r="AB58" i="35"/>
  <c r="AI80" i="35" s="1"/>
  <c r="F110" i="35"/>
  <c r="E115" i="35"/>
  <c r="M78" i="35"/>
  <c r="AA89" i="35"/>
  <c r="AB55" i="35"/>
  <c r="AI77" i="35" s="1"/>
  <c r="F97" i="35"/>
  <c r="M75" i="35"/>
  <c r="AX53" i="35"/>
  <c r="E96" i="35"/>
  <c r="L74" i="35"/>
  <c r="AB44" i="35"/>
  <c r="AI66" i="35" s="1"/>
  <c r="E92" i="35"/>
  <c r="AB46" i="35"/>
  <c r="AI68" i="35" s="1"/>
  <c r="M79" i="35"/>
  <c r="AB56" i="35"/>
  <c r="AI78" i="35" s="1"/>
  <c r="F120" i="35"/>
  <c r="AX120" i="35" s="1"/>
  <c r="E119" i="35"/>
  <c r="AA51" i="35"/>
  <c r="AH73" i="35" s="1"/>
  <c r="M80" i="35"/>
  <c r="F100" i="35"/>
  <c r="AB98" i="35"/>
  <c r="AW46" i="35"/>
  <c r="AH68" i="35"/>
  <c r="AB57" i="35"/>
  <c r="L69" i="35"/>
  <c r="F122" i="35"/>
  <c r="M77" i="35"/>
  <c r="AA48" i="35"/>
  <c r="AH70" i="35" s="1"/>
  <c r="AB121" i="35"/>
  <c r="AW47" i="35" l="1"/>
  <c r="AX121" i="35"/>
  <c r="AW49" i="35"/>
  <c r="AJ75" i="35"/>
  <c r="AC120" i="35"/>
  <c r="AB110" i="35"/>
  <c r="AX110" i="35" s="1"/>
  <c r="AA119" i="35"/>
  <c r="AW119" i="35" s="1"/>
  <c r="AW52" i="35"/>
  <c r="AA95" i="35"/>
  <c r="AB51" i="35" s="1"/>
  <c r="AI73" i="35" s="1"/>
  <c r="AA118" i="35"/>
  <c r="AW118" i="35" s="1"/>
  <c r="AA115" i="35"/>
  <c r="AW115" i="35" s="1"/>
  <c r="AB90" i="35"/>
  <c r="AB122" i="35"/>
  <c r="AX122" i="35" s="1"/>
  <c r="AA114" i="35"/>
  <c r="AW114" i="35" s="1"/>
  <c r="AW51" i="35"/>
  <c r="AX55" i="35"/>
  <c r="AA96" i="35"/>
  <c r="AC97" i="35"/>
  <c r="AD53" i="35" s="1"/>
  <c r="AD120" i="35" s="1"/>
  <c r="G102" i="35"/>
  <c r="N80" i="35"/>
  <c r="AB125" i="35"/>
  <c r="AX125" i="35" s="1"/>
  <c r="AW48" i="35"/>
  <c r="AW50" i="35"/>
  <c r="F91" i="35"/>
  <c r="G44" i="35"/>
  <c r="G88" i="35" s="1"/>
  <c r="F52" i="35"/>
  <c r="AB102" i="35"/>
  <c r="AC46" i="35"/>
  <c r="AC54" i="35"/>
  <c r="AJ76" i="35" s="1"/>
  <c r="AB113" i="35"/>
  <c r="AB45" i="35"/>
  <c r="AI67" i="35" s="1"/>
  <c r="F51" i="35"/>
  <c r="F118" i="35" s="1"/>
  <c r="F113" i="35"/>
  <c r="M68" i="35"/>
  <c r="AX46" i="35"/>
  <c r="G56" i="35"/>
  <c r="F48" i="35"/>
  <c r="AX56" i="35"/>
  <c r="G46" i="35"/>
  <c r="G90" i="35" s="1"/>
  <c r="AB87" i="35"/>
  <c r="AI65" i="35"/>
  <c r="AX44" i="35"/>
  <c r="AX58" i="35"/>
  <c r="AB100" i="35"/>
  <c r="G53" i="35"/>
  <c r="AA94" i="35"/>
  <c r="G99" i="35"/>
  <c r="N77" i="35"/>
  <c r="G43" i="35"/>
  <c r="M69" i="35"/>
  <c r="AB101" i="35"/>
  <c r="AI79" i="35"/>
  <c r="AB123" i="35"/>
  <c r="AX123" i="35" s="1"/>
  <c r="AB111" i="35"/>
  <c r="AX111" i="35" s="1"/>
  <c r="AA117" i="35"/>
  <c r="AW117" i="35" s="1"/>
  <c r="G122" i="35"/>
  <c r="F50" i="35"/>
  <c r="F49" i="35"/>
  <c r="F93" i="35" s="1"/>
  <c r="AA93" i="35"/>
  <c r="AA92" i="35"/>
  <c r="AB124" i="35"/>
  <c r="AX124" i="35" s="1"/>
  <c r="AX57" i="35"/>
  <c r="AB88" i="35"/>
  <c r="AB99" i="35"/>
  <c r="AA91" i="35"/>
  <c r="G54" i="35"/>
  <c r="F89" i="35"/>
  <c r="M67" i="35"/>
  <c r="G57" i="35"/>
  <c r="G124" i="35" s="1"/>
  <c r="AA116" i="35"/>
  <c r="AW116" i="35" s="1"/>
  <c r="AC121" i="35" l="1"/>
  <c r="AB112" i="35"/>
  <c r="AX112" i="35" s="1"/>
  <c r="AX45" i="35"/>
  <c r="AB52" i="35"/>
  <c r="AI74" i="35" s="1"/>
  <c r="G49" i="35"/>
  <c r="H44" i="35"/>
  <c r="G101" i="35"/>
  <c r="N79" i="35"/>
  <c r="AC55" i="35"/>
  <c r="AC57" i="35"/>
  <c r="AJ79" i="35" s="1"/>
  <c r="AX51" i="35"/>
  <c r="M73" i="35"/>
  <c r="AC98" i="35"/>
  <c r="G111" i="35"/>
  <c r="AC44" i="35"/>
  <c r="AJ66" i="35" s="1"/>
  <c r="AB47" i="35"/>
  <c r="AB114" i="35" s="1"/>
  <c r="AX114" i="35" s="1"/>
  <c r="F94" i="35"/>
  <c r="M72" i="35"/>
  <c r="F92" i="35"/>
  <c r="M70" i="35"/>
  <c r="F117" i="35"/>
  <c r="AB50" i="35"/>
  <c r="AI72" i="35" s="1"/>
  <c r="F115" i="35"/>
  <c r="F95" i="35"/>
  <c r="AC90" i="35"/>
  <c r="AJ68" i="35"/>
  <c r="G47" i="35"/>
  <c r="G114" i="35" s="1"/>
  <c r="N66" i="35"/>
  <c r="N75" i="35"/>
  <c r="AY53" i="35"/>
  <c r="G123" i="35"/>
  <c r="N78" i="35"/>
  <c r="AC113" i="35"/>
  <c r="H58" i="35"/>
  <c r="F116" i="35"/>
  <c r="M71" i="35"/>
  <c r="H46" i="35"/>
  <c r="H113" i="35" s="1"/>
  <c r="H55" i="35"/>
  <c r="H99" i="35" s="1"/>
  <c r="G45" i="35"/>
  <c r="G89" i="35" s="1"/>
  <c r="AB92" i="35"/>
  <c r="AB48" i="35"/>
  <c r="AI70" i="35" s="1"/>
  <c r="N65" i="35"/>
  <c r="G97" i="35"/>
  <c r="AC43" i="35"/>
  <c r="AY43" i="35" s="1"/>
  <c r="G100" i="35"/>
  <c r="AC58" i="35"/>
  <c r="AC102" i="35" s="1"/>
  <c r="AD97" i="35"/>
  <c r="AK75" i="35"/>
  <c r="G121" i="35"/>
  <c r="AY121" i="35" s="1"/>
  <c r="AY54" i="35"/>
  <c r="N76" i="35"/>
  <c r="AB49" i="35"/>
  <c r="AI71" i="35" s="1"/>
  <c r="G87" i="35"/>
  <c r="G120" i="35"/>
  <c r="AY120" i="35" s="1"/>
  <c r="N68" i="35"/>
  <c r="AY46" i="35"/>
  <c r="AB89" i="35"/>
  <c r="F119" i="35"/>
  <c r="M74" i="35"/>
  <c r="AX52" i="35"/>
  <c r="AB118" i="35"/>
  <c r="AX118" i="35" s="1"/>
  <c r="G98" i="35"/>
  <c r="G110" i="35"/>
  <c r="AC56" i="35"/>
  <c r="AJ78" i="35" s="1"/>
  <c r="G113" i="35"/>
  <c r="AX113" i="35"/>
  <c r="F96" i="35"/>
  <c r="AB119" i="35"/>
  <c r="AB95" i="35"/>
  <c r="AX119" i="35" l="1"/>
  <c r="AY57" i="35"/>
  <c r="AY44" i="35"/>
  <c r="AB115" i="35"/>
  <c r="AC100" i="35"/>
  <c r="G91" i="35"/>
  <c r="H47" i="35" s="1"/>
  <c r="AB94" i="35"/>
  <c r="AC123" i="35"/>
  <c r="AY123" i="35" s="1"/>
  <c r="AY56" i="35"/>
  <c r="AX48" i="35"/>
  <c r="AB93" i="35"/>
  <c r="AC49" i="35" s="1"/>
  <c r="AJ71" i="35" s="1"/>
  <c r="AX49" i="35"/>
  <c r="AB96" i="35"/>
  <c r="AC52" i="35" s="1"/>
  <c r="AJ74" i="35" s="1"/>
  <c r="H45" i="35"/>
  <c r="AD58" i="35"/>
  <c r="AK80" i="35" s="1"/>
  <c r="G52" i="35"/>
  <c r="H56" i="35"/>
  <c r="H123" i="35" s="1"/>
  <c r="AB91" i="35"/>
  <c r="H57" i="35"/>
  <c r="AC87" i="35"/>
  <c r="AD46" i="35"/>
  <c r="AZ46" i="35" s="1"/>
  <c r="AC101" i="35"/>
  <c r="O66" i="35"/>
  <c r="AC48" i="35"/>
  <c r="AJ70" i="35" s="1"/>
  <c r="AI69" i="35"/>
  <c r="AX47" i="35"/>
  <c r="N67" i="35"/>
  <c r="H43" i="35"/>
  <c r="H110" i="35" s="1"/>
  <c r="AE53" i="35"/>
  <c r="H53" i="35"/>
  <c r="G112" i="35"/>
  <c r="O80" i="35"/>
  <c r="G51" i="35"/>
  <c r="G118" i="35" s="1"/>
  <c r="G48" i="35"/>
  <c r="G115" i="35" s="1"/>
  <c r="AC111" i="35"/>
  <c r="AY111" i="35" s="1"/>
  <c r="AC124" i="35"/>
  <c r="AY124" i="35" s="1"/>
  <c r="H88" i="35"/>
  <c r="H54" i="35"/>
  <c r="H98" i="35" s="1"/>
  <c r="AC50" i="35"/>
  <c r="AJ72" i="35" s="1"/>
  <c r="AD56" i="35"/>
  <c r="AK78" i="35" s="1"/>
  <c r="H122" i="35"/>
  <c r="O77" i="35"/>
  <c r="H102" i="35"/>
  <c r="AX115" i="35"/>
  <c r="AC88" i="35"/>
  <c r="AC99" i="35"/>
  <c r="AJ77" i="35"/>
  <c r="AY55" i="35"/>
  <c r="H111" i="35"/>
  <c r="AC110" i="35"/>
  <c r="AY110" i="35" s="1"/>
  <c r="AJ65" i="35"/>
  <c r="AJ80" i="35"/>
  <c r="AY58" i="35"/>
  <c r="I55" i="35"/>
  <c r="I122" i="35" s="1"/>
  <c r="H125" i="35"/>
  <c r="AX50" i="35"/>
  <c r="AC122" i="35"/>
  <c r="AY122" i="35" s="1"/>
  <c r="G116" i="35"/>
  <c r="N71" i="35"/>
  <c r="AC45" i="35"/>
  <c r="AY45" i="35" s="1"/>
  <c r="AC51" i="35"/>
  <c r="AJ73" i="35" s="1"/>
  <c r="AB116" i="35"/>
  <c r="AX116" i="35" s="1"/>
  <c r="AC125" i="35"/>
  <c r="AY125" i="35" s="1"/>
  <c r="H90" i="35"/>
  <c r="O68" i="35"/>
  <c r="AY113" i="35"/>
  <c r="N69" i="35"/>
  <c r="AB117" i="35"/>
  <c r="AX117" i="35" s="1"/>
  <c r="G50" i="35"/>
  <c r="AD54" i="35"/>
  <c r="AK76" i="35" s="1"/>
  <c r="G93" i="35"/>
  <c r="AC96" i="35" l="1"/>
  <c r="AD52" i="35" s="1"/>
  <c r="AK74" i="35" s="1"/>
  <c r="AC112" i="35"/>
  <c r="AY112" i="35" s="1"/>
  <c r="AZ58" i="35"/>
  <c r="AC95" i="35"/>
  <c r="AD51" i="35" s="1"/>
  <c r="AK73" i="35" s="1"/>
  <c r="AC118" i="35"/>
  <c r="AY118" i="35" s="1"/>
  <c r="AC119" i="35"/>
  <c r="AC115" i="35"/>
  <c r="AY115" i="35" s="1"/>
  <c r="AY49" i="35"/>
  <c r="AC117" i="35"/>
  <c r="AC92" i="35"/>
  <c r="I54" i="35"/>
  <c r="AD98" i="35"/>
  <c r="H87" i="35"/>
  <c r="G96" i="35"/>
  <c r="N74" i="35"/>
  <c r="AY52" i="35"/>
  <c r="I44" i="35"/>
  <c r="G119" i="35"/>
  <c r="H114" i="35"/>
  <c r="O69" i="35"/>
  <c r="AD55" i="35"/>
  <c r="AD123" i="35"/>
  <c r="AZ123" i="35" s="1"/>
  <c r="H101" i="35"/>
  <c r="O79" i="35"/>
  <c r="O65" i="35"/>
  <c r="AD121" i="35"/>
  <c r="N72" i="35"/>
  <c r="AY50" i="35"/>
  <c r="G117" i="35"/>
  <c r="I46" i="35"/>
  <c r="I90" i="35" s="1"/>
  <c r="H91" i="35"/>
  <c r="AC93" i="35"/>
  <c r="AD44" i="35"/>
  <c r="AD100" i="35"/>
  <c r="H120" i="35"/>
  <c r="AZ120" i="35" s="1"/>
  <c r="O75" i="35"/>
  <c r="AZ53" i="35"/>
  <c r="AD57" i="35"/>
  <c r="AK79" i="35" s="1"/>
  <c r="H124" i="35"/>
  <c r="AD102" i="35"/>
  <c r="H121" i="35"/>
  <c r="O76" i="35"/>
  <c r="AZ54" i="35"/>
  <c r="G94" i="35"/>
  <c r="AC89" i="35"/>
  <c r="AJ67" i="35"/>
  <c r="AC116" i="35"/>
  <c r="AY116" i="35" s="1"/>
  <c r="G92" i="35"/>
  <c r="AY48" i="35"/>
  <c r="N70" i="35"/>
  <c r="H97" i="35"/>
  <c r="AD113" i="35"/>
  <c r="AZ113" i="35" s="1"/>
  <c r="AK68" i="35"/>
  <c r="AC47" i="35"/>
  <c r="AC114" i="35" s="1"/>
  <c r="AY114" i="35" s="1"/>
  <c r="AD125" i="35"/>
  <c r="AZ125" i="35" s="1"/>
  <c r="P77" i="35"/>
  <c r="I58" i="35"/>
  <c r="I102" i="35" s="1"/>
  <c r="AE97" i="35"/>
  <c r="AL75" i="35"/>
  <c r="AD90" i="35"/>
  <c r="H89" i="35"/>
  <c r="O67" i="35"/>
  <c r="H49" i="35"/>
  <c r="I99" i="35"/>
  <c r="AC94" i="35"/>
  <c r="G95" i="35"/>
  <c r="N73" i="35"/>
  <c r="AY51" i="35"/>
  <c r="AE120" i="35"/>
  <c r="AD43" i="35"/>
  <c r="AK65" i="35" s="1"/>
  <c r="H100" i="35"/>
  <c r="O78" i="35"/>
  <c r="AZ56" i="35"/>
  <c r="H112" i="35"/>
  <c r="AZ121" i="35" l="1"/>
  <c r="AZ57" i="35"/>
  <c r="AY119" i="35"/>
  <c r="AY117" i="35"/>
  <c r="AD48" i="35"/>
  <c r="AK70" i="35" s="1"/>
  <c r="AD95" i="35"/>
  <c r="AE51" i="35" s="1"/>
  <c r="AL73" i="35" s="1"/>
  <c r="AD118" i="35"/>
  <c r="J58" i="35"/>
  <c r="J102" i="35" s="1"/>
  <c r="AD45" i="35"/>
  <c r="AE58" i="35"/>
  <c r="AE56" i="35"/>
  <c r="AL78" i="35" s="1"/>
  <c r="I56" i="35"/>
  <c r="I100" i="35" s="1"/>
  <c r="AD50" i="35"/>
  <c r="AK72" i="35" s="1"/>
  <c r="H50" i="35"/>
  <c r="H94" i="35" s="1"/>
  <c r="AK66" i="35"/>
  <c r="AZ44" i="35"/>
  <c r="I57" i="35"/>
  <c r="I101" i="35" s="1"/>
  <c r="AD119" i="35"/>
  <c r="H52" i="35"/>
  <c r="H96" i="35" s="1"/>
  <c r="J55" i="35"/>
  <c r="J99" i="35" s="1"/>
  <c r="I53" i="35"/>
  <c r="I120" i="35" s="1"/>
  <c r="BA120" i="35" s="1"/>
  <c r="AD88" i="35"/>
  <c r="AD96" i="35"/>
  <c r="I43" i="35"/>
  <c r="AD110" i="35"/>
  <c r="AZ110" i="35" s="1"/>
  <c r="O71" i="35"/>
  <c r="I45" i="35"/>
  <c r="I112" i="35" s="1"/>
  <c r="AD124" i="35"/>
  <c r="AZ124" i="35" s="1"/>
  <c r="AD111" i="35"/>
  <c r="AZ111" i="35" s="1"/>
  <c r="AD122" i="35"/>
  <c r="AZ122" i="35" s="1"/>
  <c r="AK77" i="35"/>
  <c r="AZ55" i="35"/>
  <c r="J46" i="35"/>
  <c r="H51" i="35"/>
  <c r="H118" i="35" s="1"/>
  <c r="AD87" i="35"/>
  <c r="H116" i="35"/>
  <c r="AE46" i="35"/>
  <c r="AL68" i="35" s="1"/>
  <c r="AD101" i="35"/>
  <c r="AD49" i="35"/>
  <c r="AK71" i="35" s="1"/>
  <c r="AZ43" i="35"/>
  <c r="AD99" i="35"/>
  <c r="AE54" i="35"/>
  <c r="AL76" i="35" s="1"/>
  <c r="I125" i="35"/>
  <c r="P80" i="35"/>
  <c r="H93" i="35"/>
  <c r="AJ69" i="35"/>
  <c r="AY47" i="35"/>
  <c r="H48" i="35"/>
  <c r="I47" i="35"/>
  <c r="I111" i="35"/>
  <c r="P66" i="35"/>
  <c r="I121" i="35"/>
  <c r="P76" i="35"/>
  <c r="AF53" i="35"/>
  <c r="AM75" i="35" s="1"/>
  <c r="AC91" i="35"/>
  <c r="I113" i="35"/>
  <c r="P68" i="35"/>
  <c r="I88" i="35"/>
  <c r="I98" i="35"/>
  <c r="AD92" i="35" l="1"/>
  <c r="AZ118" i="35"/>
  <c r="AD117" i="35"/>
  <c r="BA46" i="35"/>
  <c r="J125" i="35"/>
  <c r="AD94" i="35"/>
  <c r="AE50" i="35" s="1"/>
  <c r="AE48" i="35"/>
  <c r="AL70" i="35" s="1"/>
  <c r="AE113" i="35"/>
  <c r="BA113" i="35" s="1"/>
  <c r="AD115" i="35"/>
  <c r="AE118" i="35"/>
  <c r="AD93" i="35"/>
  <c r="AE49" i="35" s="1"/>
  <c r="AL71" i="35" s="1"/>
  <c r="AE100" i="35"/>
  <c r="AF56" i="35" s="1"/>
  <c r="AM78" i="35" s="1"/>
  <c r="I89" i="35"/>
  <c r="P67" i="35"/>
  <c r="AE52" i="35"/>
  <c r="I52" i="35"/>
  <c r="I50" i="35"/>
  <c r="I117" i="35" s="1"/>
  <c r="AE57" i="35"/>
  <c r="BA57" i="35" s="1"/>
  <c r="J90" i="35"/>
  <c r="Q68" i="35"/>
  <c r="AE44" i="35"/>
  <c r="AE102" i="35"/>
  <c r="AL80" i="35"/>
  <c r="AE98" i="35"/>
  <c r="J113" i="35"/>
  <c r="AZ49" i="35"/>
  <c r="I97" i="35"/>
  <c r="P75" i="35"/>
  <c r="BA53" i="35"/>
  <c r="P79" i="35"/>
  <c r="AE125" i="35"/>
  <c r="BA125" i="35" s="1"/>
  <c r="J44" i="35"/>
  <c r="AF120" i="35"/>
  <c r="I114" i="35"/>
  <c r="P69" i="35"/>
  <c r="BA58" i="35"/>
  <c r="AE121" i="35"/>
  <c r="BA121" i="35" s="1"/>
  <c r="J57" i="35"/>
  <c r="J101" i="35" s="1"/>
  <c r="AD89" i="35"/>
  <c r="AK67" i="35"/>
  <c r="AZ45" i="35"/>
  <c r="AD47" i="35"/>
  <c r="AD114" i="35" s="1"/>
  <c r="AZ114" i="35" s="1"/>
  <c r="AF97" i="35"/>
  <c r="I91" i="35"/>
  <c r="AE55" i="35"/>
  <c r="AE99" i="35" s="1"/>
  <c r="AE90" i="35"/>
  <c r="J122" i="35"/>
  <c r="Q77" i="35"/>
  <c r="I124" i="35"/>
  <c r="I123" i="35"/>
  <c r="P78" i="35"/>
  <c r="BA56" i="35"/>
  <c r="AD112" i="35"/>
  <c r="AZ112" i="35" s="1"/>
  <c r="H92" i="35"/>
  <c r="AZ48" i="35"/>
  <c r="O70" i="35"/>
  <c r="P65" i="35"/>
  <c r="K55" i="35"/>
  <c r="J56" i="35"/>
  <c r="J100" i="35" s="1"/>
  <c r="K58" i="35"/>
  <c r="K125" i="35" s="1"/>
  <c r="I49" i="35"/>
  <c r="I116" i="35" s="1"/>
  <c r="AE43" i="35"/>
  <c r="AL65" i="35" s="1"/>
  <c r="I110" i="35"/>
  <c r="J54" i="35"/>
  <c r="J98" i="35" s="1"/>
  <c r="BA54" i="35"/>
  <c r="H115" i="35"/>
  <c r="AE95" i="35"/>
  <c r="AD116" i="35"/>
  <c r="AZ116" i="35" s="1"/>
  <c r="H95" i="35"/>
  <c r="O73" i="35"/>
  <c r="AZ51" i="35"/>
  <c r="I87" i="35"/>
  <c r="H119" i="35"/>
  <c r="AZ119" i="35" s="1"/>
  <c r="O74" i="35"/>
  <c r="AZ52" i="35"/>
  <c r="H117" i="35"/>
  <c r="AZ117" i="35" s="1"/>
  <c r="O72" i="35"/>
  <c r="AZ50" i="35"/>
  <c r="AE123" i="35"/>
  <c r="Q80" i="35"/>
  <c r="AE115" i="35" l="1"/>
  <c r="BA123" i="35"/>
  <c r="AZ115" i="35"/>
  <c r="I93" i="35"/>
  <c r="J49" i="35" s="1"/>
  <c r="AE92" i="35"/>
  <c r="AF48" i="35" s="1"/>
  <c r="AM70" i="35" s="1"/>
  <c r="AE122" i="35"/>
  <c r="BA122" i="35" s="1"/>
  <c r="AE87" i="35"/>
  <c r="AF43" i="35" s="1"/>
  <c r="AM65" i="35" s="1"/>
  <c r="BA43" i="35"/>
  <c r="K54" i="35"/>
  <c r="J43" i="35"/>
  <c r="AF55" i="35"/>
  <c r="AF122" i="35" s="1"/>
  <c r="BB122" i="35" s="1"/>
  <c r="AE45" i="35"/>
  <c r="J45" i="35"/>
  <c r="J112" i="35" s="1"/>
  <c r="K102" i="35"/>
  <c r="R80" i="35"/>
  <c r="J47" i="35"/>
  <c r="J124" i="35"/>
  <c r="Q79" i="35"/>
  <c r="AF58" i="35"/>
  <c r="K46" i="35"/>
  <c r="P74" i="35"/>
  <c r="BA52" i="35"/>
  <c r="AG53" i="35"/>
  <c r="AN75" i="35" s="1"/>
  <c r="K57" i="35"/>
  <c r="K101" i="35" s="1"/>
  <c r="J88" i="35"/>
  <c r="Q66" i="35"/>
  <c r="AE101" i="35"/>
  <c r="AL79" i="35"/>
  <c r="I119" i="35"/>
  <c r="AE93" i="35"/>
  <c r="I51" i="35"/>
  <c r="J123" i="35"/>
  <c r="Q78" i="35"/>
  <c r="BB56" i="35"/>
  <c r="AK69" i="35"/>
  <c r="AZ47" i="35"/>
  <c r="J111" i="35"/>
  <c r="J53" i="35"/>
  <c r="AE124" i="35"/>
  <c r="BA124" i="35" s="1"/>
  <c r="I96" i="35"/>
  <c r="AE116" i="35"/>
  <c r="BA116" i="35" s="1"/>
  <c r="I48" i="35"/>
  <c r="I92" i="35" s="1"/>
  <c r="AL66" i="35"/>
  <c r="BA44" i="35"/>
  <c r="AE96" i="35"/>
  <c r="AL74" i="35"/>
  <c r="I94" i="35"/>
  <c r="P72" i="35"/>
  <c r="BA50" i="35"/>
  <c r="AF51" i="35"/>
  <c r="AM73" i="35" s="1"/>
  <c r="AE110" i="35"/>
  <c r="BA110" i="35" s="1"/>
  <c r="K99" i="35"/>
  <c r="R77" i="35"/>
  <c r="AF46" i="35"/>
  <c r="AF113" i="35" s="1"/>
  <c r="BB113" i="35" s="1"/>
  <c r="AD91" i="35"/>
  <c r="AE94" i="35"/>
  <c r="AL72" i="35"/>
  <c r="AE88" i="35"/>
  <c r="AF100" i="35"/>
  <c r="AE119" i="35"/>
  <c r="AF115" i="35"/>
  <c r="J121" i="35"/>
  <c r="Q76" i="35"/>
  <c r="K56" i="35"/>
  <c r="P71" i="35"/>
  <c r="BA49" i="35"/>
  <c r="K122" i="35"/>
  <c r="AL77" i="35"/>
  <c r="BA55" i="35"/>
  <c r="AE117" i="35"/>
  <c r="BA117" i="35" s="1"/>
  <c r="AF54" i="35"/>
  <c r="AE111" i="35"/>
  <c r="BA111" i="35" s="1"/>
  <c r="AF123" i="35"/>
  <c r="AF92" i="35" l="1"/>
  <c r="I115" i="35"/>
  <c r="BA115" i="35" s="1"/>
  <c r="BA119" i="35"/>
  <c r="AF87" i="35"/>
  <c r="AF110" i="35"/>
  <c r="Q75" i="35"/>
  <c r="BB53" i="35"/>
  <c r="AF121" i="35"/>
  <c r="BB121" i="35" s="1"/>
  <c r="AM76" i="35"/>
  <c r="R78" i="35"/>
  <c r="J48" i="35"/>
  <c r="J92" i="35" s="1"/>
  <c r="J120" i="35"/>
  <c r="BB120" i="35" s="1"/>
  <c r="I118" i="35"/>
  <c r="BA118" i="35" s="1"/>
  <c r="P73" i="35"/>
  <c r="BA51" i="35"/>
  <c r="K44" i="35"/>
  <c r="K111" i="35" s="1"/>
  <c r="K90" i="35"/>
  <c r="R68" i="35"/>
  <c r="J89" i="35"/>
  <c r="J116" i="35"/>
  <c r="Q71" i="35"/>
  <c r="AF98" i="35"/>
  <c r="K100" i="35"/>
  <c r="AG56" i="35"/>
  <c r="BC56" i="35" s="1"/>
  <c r="J50" i="35"/>
  <c r="J97" i="35"/>
  <c r="I95" i="35"/>
  <c r="K124" i="35"/>
  <c r="R79" i="35"/>
  <c r="K113" i="35"/>
  <c r="J91" i="35"/>
  <c r="Q69" i="35"/>
  <c r="J93" i="35"/>
  <c r="Q67" i="35"/>
  <c r="K123" i="35"/>
  <c r="AF44" i="35"/>
  <c r="AF88" i="35" s="1"/>
  <c r="L55" i="35"/>
  <c r="AF49" i="35"/>
  <c r="AM71" i="35" s="1"/>
  <c r="L57" i="35"/>
  <c r="AM80" i="35"/>
  <c r="BB58" i="35"/>
  <c r="J114" i="35"/>
  <c r="J87" i="35"/>
  <c r="Q65" i="35"/>
  <c r="BB43" i="35"/>
  <c r="AF52" i="35"/>
  <c r="AM74" i="35" s="1"/>
  <c r="AG43" i="35"/>
  <c r="AN65" i="35" s="1"/>
  <c r="AF102" i="35"/>
  <c r="AE89" i="35"/>
  <c r="AL67" i="35"/>
  <c r="BA45" i="35"/>
  <c r="J110" i="35"/>
  <c r="AG97" i="35"/>
  <c r="AF125" i="35"/>
  <c r="BB125" i="35" s="1"/>
  <c r="AE112" i="35"/>
  <c r="BA112" i="35" s="1"/>
  <c r="R76" i="35"/>
  <c r="AE47" i="35"/>
  <c r="AF95" i="35"/>
  <c r="J52" i="35"/>
  <c r="J119" i="35" s="1"/>
  <c r="AF57" i="35"/>
  <c r="AG120" i="35"/>
  <c r="L58" i="35"/>
  <c r="L102" i="35" s="1"/>
  <c r="AM77" i="35"/>
  <c r="BB55" i="35"/>
  <c r="K121" i="35"/>
  <c r="BB54" i="35"/>
  <c r="AF50" i="35"/>
  <c r="AM72" i="35" s="1"/>
  <c r="AG48" i="35"/>
  <c r="AN70" i="35" s="1"/>
  <c r="BB123" i="35"/>
  <c r="AF90" i="35"/>
  <c r="AM68" i="35"/>
  <c r="BB46" i="35"/>
  <c r="AF118" i="35"/>
  <c r="P70" i="35"/>
  <c r="BA48" i="35"/>
  <c r="AF99" i="35"/>
  <c r="K98" i="35"/>
  <c r="BB110" i="35" l="1"/>
  <c r="AF93" i="35"/>
  <c r="AG49" i="35" s="1"/>
  <c r="AG93" i="35" s="1"/>
  <c r="AG115" i="35"/>
  <c r="BB49" i="35"/>
  <c r="M58" i="35"/>
  <c r="K48" i="35"/>
  <c r="AG87" i="35"/>
  <c r="AG54" i="35"/>
  <c r="AG121" i="35" s="1"/>
  <c r="BC121" i="35" s="1"/>
  <c r="L46" i="35"/>
  <c r="AG55" i="35"/>
  <c r="AG92" i="35"/>
  <c r="AG51" i="35"/>
  <c r="AN73" i="35" s="1"/>
  <c r="AH53" i="35"/>
  <c r="AG110" i="35"/>
  <c r="K49" i="35"/>
  <c r="K93" i="35" s="1"/>
  <c r="J51" i="35"/>
  <c r="J118" i="35" s="1"/>
  <c r="BB118" i="35" s="1"/>
  <c r="K88" i="35"/>
  <c r="R66" i="35"/>
  <c r="AL69" i="35"/>
  <c r="BA47" i="35"/>
  <c r="L99" i="35"/>
  <c r="S77" i="35"/>
  <c r="K53" i="35"/>
  <c r="K97" i="35" s="1"/>
  <c r="J115" i="35"/>
  <c r="BB115" i="35" s="1"/>
  <c r="Q70" i="35"/>
  <c r="BB48" i="35"/>
  <c r="AE114" i="35"/>
  <c r="BA114" i="35" s="1"/>
  <c r="AF119" i="35"/>
  <c r="BB119" i="35" s="1"/>
  <c r="L124" i="35"/>
  <c r="S79" i="35"/>
  <c r="L122" i="35"/>
  <c r="J94" i="35"/>
  <c r="Q72" i="35"/>
  <c r="BB50" i="35"/>
  <c r="J96" i="35"/>
  <c r="Q74" i="35"/>
  <c r="BB52" i="35"/>
  <c r="L56" i="35"/>
  <c r="L100" i="35" s="1"/>
  <c r="AF94" i="35"/>
  <c r="AE91" i="35"/>
  <c r="AF96" i="35"/>
  <c r="L101" i="35"/>
  <c r="AG44" i="35"/>
  <c r="AN66" i="35" s="1"/>
  <c r="K47" i="35"/>
  <c r="J117" i="35"/>
  <c r="K43" i="35"/>
  <c r="L125" i="35"/>
  <c r="S80" i="35"/>
  <c r="AF117" i="35"/>
  <c r="AF45" i="35"/>
  <c r="AF111" i="35"/>
  <c r="BB111" i="35" s="1"/>
  <c r="AM66" i="35"/>
  <c r="BB44" i="35"/>
  <c r="AG100" i="35"/>
  <c r="AN78" i="35"/>
  <c r="K45" i="35"/>
  <c r="K112" i="35" s="1"/>
  <c r="L54" i="35"/>
  <c r="L121" i="35" s="1"/>
  <c r="AF101" i="35"/>
  <c r="AM79" i="35"/>
  <c r="BB57" i="35"/>
  <c r="AG46" i="35"/>
  <c r="AG90" i="35" s="1"/>
  <c r="AF124" i="35"/>
  <c r="BB124" i="35" s="1"/>
  <c r="AG58" i="35"/>
  <c r="AF116" i="35"/>
  <c r="BB116" i="35" s="1"/>
  <c r="AG123" i="35"/>
  <c r="BC123" i="35" s="1"/>
  <c r="BB117" i="35" l="1"/>
  <c r="AG95" i="35"/>
  <c r="AG118" i="35"/>
  <c r="AG111" i="35"/>
  <c r="BC111" i="35" s="1"/>
  <c r="AG88" i="35"/>
  <c r="L49" i="35"/>
  <c r="M56" i="35"/>
  <c r="AH44" i="35"/>
  <c r="K116" i="35"/>
  <c r="AH51" i="35"/>
  <c r="AO73" i="35" s="1"/>
  <c r="R65" i="35"/>
  <c r="BC43" i="35"/>
  <c r="R75" i="35"/>
  <c r="BC53" i="35"/>
  <c r="AG116" i="35"/>
  <c r="AN71" i="35"/>
  <c r="AH48" i="35"/>
  <c r="AO70" i="35" s="1"/>
  <c r="AH43" i="35"/>
  <c r="AO65" i="35" s="1"/>
  <c r="M57" i="35"/>
  <c r="M124" i="35" s="1"/>
  <c r="L53" i="35"/>
  <c r="AG122" i="35"/>
  <c r="BC122" i="35" s="1"/>
  <c r="AN77" i="35"/>
  <c r="BC55" i="35"/>
  <c r="R70" i="35"/>
  <c r="BC48" i="35"/>
  <c r="AG57" i="35"/>
  <c r="AF112" i="35"/>
  <c r="BB112" i="35" s="1"/>
  <c r="AM67" i="35"/>
  <c r="BB45" i="35"/>
  <c r="AG52" i="35"/>
  <c r="AG119" i="35" s="1"/>
  <c r="K52" i="35"/>
  <c r="K120" i="35"/>
  <c r="BC120" i="35" s="1"/>
  <c r="AG99" i="35"/>
  <c r="K115" i="35"/>
  <c r="BC115" i="35" s="1"/>
  <c r="AH56" i="35"/>
  <c r="AO78" i="35" s="1"/>
  <c r="AG125" i="35"/>
  <c r="BC125" i="35" s="1"/>
  <c r="AN80" i="35"/>
  <c r="BC58" i="35"/>
  <c r="K110" i="35"/>
  <c r="BC110" i="35" s="1"/>
  <c r="AH49" i="35"/>
  <c r="AO71" i="35" s="1"/>
  <c r="AG102" i="35"/>
  <c r="K87" i="35"/>
  <c r="K89" i="35"/>
  <c r="R67" i="35"/>
  <c r="AF89" i="35"/>
  <c r="AF47" i="35"/>
  <c r="AF114" i="35" s="1"/>
  <c r="BB114" i="35" s="1"/>
  <c r="BC44" i="35"/>
  <c r="AH120" i="35"/>
  <c r="AO75" i="35"/>
  <c r="L90" i="35"/>
  <c r="S68" i="35"/>
  <c r="K92" i="35"/>
  <c r="L123" i="35"/>
  <c r="S78" i="35"/>
  <c r="L98" i="35"/>
  <c r="S76" i="35"/>
  <c r="R71" i="35"/>
  <c r="BC49" i="35"/>
  <c r="AG113" i="35"/>
  <c r="BC113" i="35" s="1"/>
  <c r="AN68" i="35"/>
  <c r="BC46" i="35"/>
  <c r="K91" i="35"/>
  <c r="R69" i="35"/>
  <c r="L44" i="35"/>
  <c r="AH97" i="35"/>
  <c r="L113" i="35"/>
  <c r="M102" i="35"/>
  <c r="T80" i="35"/>
  <c r="AH46" i="35"/>
  <c r="BD46" i="35" s="1"/>
  <c r="K114" i="35"/>
  <c r="AG50" i="35"/>
  <c r="AG94" i="35" s="1"/>
  <c r="K50" i="35"/>
  <c r="M55" i="35"/>
  <c r="J95" i="35"/>
  <c r="BB51" i="35"/>
  <c r="Q73" i="35"/>
  <c r="AG98" i="35"/>
  <c r="AN76" i="35"/>
  <c r="BC54" i="35"/>
  <c r="M125" i="35"/>
  <c r="BD56" i="35" l="1"/>
  <c r="AF91" i="35"/>
  <c r="AG47" i="35" s="1"/>
  <c r="AH100" i="35"/>
  <c r="AH123" i="35"/>
  <c r="BD123" i="35" s="1"/>
  <c r="AH110" i="35"/>
  <c r="AH92" i="35"/>
  <c r="AH90" i="35"/>
  <c r="AI46" i="35" s="1"/>
  <c r="AP68" i="35" s="1"/>
  <c r="L111" i="35"/>
  <c r="BD44" i="35"/>
  <c r="S66" i="35"/>
  <c r="AH93" i="35"/>
  <c r="AH88" i="35"/>
  <c r="AO66" i="35"/>
  <c r="K51" i="35"/>
  <c r="L48" i="35"/>
  <c r="AI56" i="35"/>
  <c r="AI123" i="35" s="1"/>
  <c r="BC116" i="35"/>
  <c r="T77" i="35"/>
  <c r="M122" i="35"/>
  <c r="AH113" i="35"/>
  <c r="BD113" i="35" s="1"/>
  <c r="AO68" i="35"/>
  <c r="L88" i="35"/>
  <c r="AG45" i="35"/>
  <c r="AG89" i="35" s="1"/>
  <c r="AH116" i="35"/>
  <c r="AH87" i="35"/>
  <c r="AH111" i="35"/>
  <c r="AH50" i="35"/>
  <c r="T78" i="35"/>
  <c r="AG96" i="35"/>
  <c r="AN74" i="35"/>
  <c r="M99" i="35"/>
  <c r="M46" i="35"/>
  <c r="R72" i="35"/>
  <c r="BC50" i="35"/>
  <c r="M54" i="35"/>
  <c r="L120" i="35"/>
  <c r="BD120" i="35" s="1"/>
  <c r="S75" i="35"/>
  <c r="BD53" i="35"/>
  <c r="M100" i="35"/>
  <c r="L47" i="35"/>
  <c r="AH54" i="35"/>
  <c r="K117" i="35"/>
  <c r="L45" i="35"/>
  <c r="AG101" i="35"/>
  <c r="AN79" i="35"/>
  <c r="BC57" i="35"/>
  <c r="L97" i="35"/>
  <c r="M123" i="35"/>
  <c r="AI53" i="35"/>
  <c r="AP75" i="35" s="1"/>
  <c r="K94" i="35"/>
  <c r="N58" i="35"/>
  <c r="L43" i="35"/>
  <c r="L110" i="35" s="1"/>
  <c r="K119" i="35"/>
  <c r="BC119" i="35" s="1"/>
  <c r="R74" i="35"/>
  <c r="BC52" i="35"/>
  <c r="AG124" i="35"/>
  <c r="BC124" i="35" s="1"/>
  <c r="T79" i="35"/>
  <c r="AH115" i="35"/>
  <c r="AH95" i="35"/>
  <c r="L93" i="35"/>
  <c r="S71" i="35"/>
  <c r="BD49" i="35"/>
  <c r="AH55" i="35"/>
  <c r="AG117" i="35"/>
  <c r="BC117" i="35" s="1"/>
  <c r="AN72" i="35"/>
  <c r="AM69" i="35"/>
  <c r="BB47" i="35"/>
  <c r="AH58" i="35"/>
  <c r="AH125" i="35" s="1"/>
  <c r="BD125" i="35" s="1"/>
  <c r="K96" i="35"/>
  <c r="M101" i="35"/>
  <c r="AH118" i="35"/>
  <c r="L116" i="35"/>
  <c r="AI48" i="35" l="1"/>
  <c r="AP70" i="35" s="1"/>
  <c r="BE123" i="35"/>
  <c r="L91" i="35"/>
  <c r="S69" i="35"/>
  <c r="AI49" i="35"/>
  <c r="N57" i="35"/>
  <c r="N101" i="35" s="1"/>
  <c r="AH99" i="35"/>
  <c r="AO77" i="35"/>
  <c r="BD55" i="35"/>
  <c r="N102" i="35"/>
  <c r="U80" i="35"/>
  <c r="AI120" i="35"/>
  <c r="AH57" i="35"/>
  <c r="AH124" i="35" s="1"/>
  <c r="BD124" i="35" s="1"/>
  <c r="L114" i="35"/>
  <c r="BD110" i="35"/>
  <c r="M44" i="35"/>
  <c r="M88" i="35" s="1"/>
  <c r="AI100" i="35"/>
  <c r="AP78" i="35"/>
  <c r="BC47" i="35"/>
  <c r="AN69" i="35"/>
  <c r="L52" i="35"/>
  <c r="AH122" i="35"/>
  <c r="BD122" i="35" s="1"/>
  <c r="N125" i="35"/>
  <c r="L112" i="35"/>
  <c r="S67" i="35"/>
  <c r="N56" i="35"/>
  <c r="M113" i="35"/>
  <c r="T68" i="35"/>
  <c r="BE46" i="35"/>
  <c r="AH117" i="35"/>
  <c r="AO72" i="35"/>
  <c r="L92" i="35"/>
  <c r="BD48" i="35"/>
  <c r="S70" i="35"/>
  <c r="AG114" i="35"/>
  <c r="BC114" i="35" s="1"/>
  <c r="AH45" i="35"/>
  <c r="AO67" i="35" s="1"/>
  <c r="L50" i="35"/>
  <c r="L94" i="35" s="1"/>
  <c r="L89" i="35"/>
  <c r="M90" i="35"/>
  <c r="AH94" i="35"/>
  <c r="L115" i="35"/>
  <c r="BD115" i="35" s="1"/>
  <c r="AG91" i="35"/>
  <c r="AH102" i="35"/>
  <c r="AO80" i="35"/>
  <c r="BD58" i="35"/>
  <c r="N55" i="35"/>
  <c r="N99" i="35" s="1"/>
  <c r="K95" i="35"/>
  <c r="R73" i="35"/>
  <c r="BC51" i="35"/>
  <c r="M49" i="35"/>
  <c r="AI113" i="35"/>
  <c r="BE113" i="35" s="1"/>
  <c r="AI115" i="35"/>
  <c r="AI43" i="35"/>
  <c r="AI87" i="35" s="1"/>
  <c r="K118" i="35"/>
  <c r="BC118" i="35" s="1"/>
  <c r="AI51" i="35"/>
  <c r="AP73" i="35" s="1"/>
  <c r="S65" i="35"/>
  <c r="BD43" i="35"/>
  <c r="AI90" i="35"/>
  <c r="M53" i="35"/>
  <c r="AH98" i="35"/>
  <c r="AO76" i="35"/>
  <c r="BD54" i="35"/>
  <c r="M121" i="35"/>
  <c r="T76" i="35"/>
  <c r="AH52" i="35"/>
  <c r="BD116" i="35"/>
  <c r="BD111" i="35"/>
  <c r="L87" i="35"/>
  <c r="AI97" i="35"/>
  <c r="AH121" i="35"/>
  <c r="BD121" i="35" s="1"/>
  <c r="M98" i="35"/>
  <c r="BE56" i="35"/>
  <c r="AG112" i="35"/>
  <c r="BC112" i="35" s="1"/>
  <c r="AN67" i="35"/>
  <c r="BC45" i="35"/>
  <c r="AI44" i="35"/>
  <c r="AP66" i="35" s="1"/>
  <c r="AI110" i="35" l="1"/>
  <c r="AH112" i="35"/>
  <c r="BD112" i="35" s="1"/>
  <c r="AH89" i="35"/>
  <c r="BD45" i="35"/>
  <c r="AI92" i="35"/>
  <c r="AJ48" i="35" s="1"/>
  <c r="AQ70" i="35" s="1"/>
  <c r="AI88" i="35"/>
  <c r="AJ44" i="35" s="1"/>
  <c r="N122" i="35"/>
  <c r="M111" i="35"/>
  <c r="AI95" i="35"/>
  <c r="AJ51" i="35" s="1"/>
  <c r="O57" i="35"/>
  <c r="O101" i="35" s="1"/>
  <c r="M50" i="35"/>
  <c r="O55" i="35"/>
  <c r="O99" i="35" s="1"/>
  <c r="AI45" i="35"/>
  <c r="AP67" i="35" s="1"/>
  <c r="N124" i="35"/>
  <c r="AI54" i="35"/>
  <c r="AI98" i="35" s="1"/>
  <c r="M93" i="35"/>
  <c r="T71" i="35"/>
  <c r="BE49" i="35"/>
  <c r="AI50" i="35"/>
  <c r="AI117" i="35" s="1"/>
  <c r="S74" i="35"/>
  <c r="BD52" i="35"/>
  <c r="N44" i="35"/>
  <c r="N111" i="35" s="1"/>
  <c r="AJ56" i="35"/>
  <c r="BF56" i="35" s="1"/>
  <c r="AH119" i="35"/>
  <c r="AO74" i="35"/>
  <c r="M97" i="35"/>
  <c r="T75" i="35"/>
  <c r="BE53" i="35"/>
  <c r="AI118" i="35"/>
  <c r="M116" i="35"/>
  <c r="N46" i="35"/>
  <c r="N90" i="35" s="1"/>
  <c r="N100" i="35"/>
  <c r="U78" i="35"/>
  <c r="L119" i="35"/>
  <c r="T66" i="35"/>
  <c r="BE44" i="35"/>
  <c r="AI93" i="35"/>
  <c r="AP71" i="35"/>
  <c r="AH47" i="35"/>
  <c r="AH91" i="35" s="1"/>
  <c r="AH96" i="35"/>
  <c r="M120" i="35"/>
  <c r="BE120" i="35" s="1"/>
  <c r="M45" i="35"/>
  <c r="M89" i="35" s="1"/>
  <c r="N123" i="35"/>
  <c r="L96" i="35"/>
  <c r="O58" i="35"/>
  <c r="O125" i="35" s="1"/>
  <c r="AI116" i="35"/>
  <c r="U79" i="35"/>
  <c r="N54" i="35"/>
  <c r="N98" i="35" s="1"/>
  <c r="AJ46" i="35"/>
  <c r="AJ113" i="35" s="1"/>
  <c r="AJ43" i="35"/>
  <c r="AJ110" i="35" s="1"/>
  <c r="M48" i="35"/>
  <c r="M92" i="35" s="1"/>
  <c r="L117" i="35"/>
  <c r="BD117" i="35" s="1"/>
  <c r="S72" i="35"/>
  <c r="BD50" i="35"/>
  <c r="AO79" i="35"/>
  <c r="BD57" i="35"/>
  <c r="M43" i="35"/>
  <c r="M110" i="35" s="1"/>
  <c r="L51" i="35"/>
  <c r="AI111" i="35"/>
  <c r="AJ53" i="35"/>
  <c r="AQ75" i="35" s="1"/>
  <c r="AP65" i="35"/>
  <c r="U77" i="35"/>
  <c r="AI58" i="35"/>
  <c r="AI102" i="35" s="1"/>
  <c r="AH101" i="35"/>
  <c r="AI55" i="35"/>
  <c r="AI99" i="35" s="1"/>
  <c r="M47" i="35"/>
  <c r="M114" i="35" s="1"/>
  <c r="AI122" i="35" l="1"/>
  <c r="BE122" i="35" s="1"/>
  <c r="AJ92" i="35"/>
  <c r="AJ120" i="35"/>
  <c r="BD119" i="35"/>
  <c r="BE111" i="35"/>
  <c r="AJ115" i="35"/>
  <c r="AQ73" i="35"/>
  <c r="AJ118" i="35"/>
  <c r="AJ123" i="35"/>
  <c r="BF123" i="35" s="1"/>
  <c r="BE116" i="35"/>
  <c r="AI112" i="35"/>
  <c r="BE110" i="35"/>
  <c r="N45" i="35"/>
  <c r="O46" i="35"/>
  <c r="AJ54" i="35"/>
  <c r="AJ121" i="35" s="1"/>
  <c r="AK48" i="35"/>
  <c r="AR70" i="35" s="1"/>
  <c r="AJ88" i="35"/>
  <c r="AQ66" i="35"/>
  <c r="P55" i="35"/>
  <c r="P122" i="35" s="1"/>
  <c r="AJ58" i="35"/>
  <c r="AJ125" i="35" s="1"/>
  <c r="BF125" i="35" s="1"/>
  <c r="M91" i="35"/>
  <c r="T69" i="35"/>
  <c r="AI125" i="35"/>
  <c r="BE125" i="35" s="1"/>
  <c r="AP80" i="35"/>
  <c r="BE58" i="35"/>
  <c r="AJ87" i="35"/>
  <c r="AQ65" i="35"/>
  <c r="O102" i="35"/>
  <c r="V80" i="35"/>
  <c r="AJ100" i="35"/>
  <c r="AQ78" i="35"/>
  <c r="AJ111" i="35"/>
  <c r="BF111" i="35" s="1"/>
  <c r="O122" i="35"/>
  <c r="V77" i="35"/>
  <c r="L95" i="35"/>
  <c r="BD51" i="35"/>
  <c r="S73" i="35"/>
  <c r="AI52" i="35"/>
  <c r="AP74" i="35" s="1"/>
  <c r="N49" i="35"/>
  <c r="N116" i="35" s="1"/>
  <c r="M117" i="35"/>
  <c r="BE117" i="35" s="1"/>
  <c r="T72" i="35"/>
  <c r="BE50" i="35"/>
  <c r="N48" i="35"/>
  <c r="N92" i="35" s="1"/>
  <c r="AJ49" i="35"/>
  <c r="AJ116" i="35" s="1"/>
  <c r="L118" i="35"/>
  <c r="BD118" i="35" s="1"/>
  <c r="AJ90" i="35"/>
  <c r="AQ68" i="35"/>
  <c r="M52" i="35"/>
  <c r="M119" i="35" s="1"/>
  <c r="AO69" i="35"/>
  <c r="BD47" i="35"/>
  <c r="N88" i="35"/>
  <c r="U66" i="35"/>
  <c r="BF44" i="35"/>
  <c r="M94" i="35"/>
  <c r="N121" i="35"/>
  <c r="U76" i="35"/>
  <c r="AH114" i="35"/>
  <c r="BD114" i="35" s="1"/>
  <c r="AJ95" i="35"/>
  <c r="V79" i="35"/>
  <c r="AJ55" i="35"/>
  <c r="AJ122" i="35" s="1"/>
  <c r="BF122" i="35" s="1"/>
  <c r="AP77" i="35"/>
  <c r="BE55" i="35"/>
  <c r="O54" i="35"/>
  <c r="O98" i="35" s="1"/>
  <c r="T67" i="35"/>
  <c r="BE45" i="35"/>
  <c r="O56" i="35"/>
  <c r="O123" i="35" s="1"/>
  <c r="N53" i="35"/>
  <c r="P57" i="35"/>
  <c r="P101" i="35" s="1"/>
  <c r="T65" i="35"/>
  <c r="BE43" i="35"/>
  <c r="AI47" i="35"/>
  <c r="BE47" i="35" s="1"/>
  <c r="AI57" i="35"/>
  <c r="AJ97" i="35"/>
  <c r="M87" i="35"/>
  <c r="M115" i="35"/>
  <c r="BE115" i="35" s="1"/>
  <c r="T70" i="35"/>
  <c r="BE48" i="35"/>
  <c r="M112" i="35"/>
  <c r="BE112" i="35" s="1"/>
  <c r="N113" i="35"/>
  <c r="BF113" i="35" s="1"/>
  <c r="U68" i="35"/>
  <c r="BF46" i="35"/>
  <c r="AI94" i="35"/>
  <c r="AP72" i="35"/>
  <c r="AI121" i="35"/>
  <c r="BE121" i="35" s="1"/>
  <c r="AP76" i="35"/>
  <c r="BE54" i="35"/>
  <c r="AI89" i="35"/>
  <c r="O124" i="35"/>
  <c r="O121" i="35" l="1"/>
  <c r="M96" i="35"/>
  <c r="N93" i="35"/>
  <c r="BF121" i="35"/>
  <c r="P124" i="35"/>
  <c r="BF54" i="35"/>
  <c r="AI96" i="35"/>
  <c r="AJ52" i="35" s="1"/>
  <c r="AQ74" i="35" s="1"/>
  <c r="AK115" i="35"/>
  <c r="AK92" i="35"/>
  <c r="AL48" i="35" s="1"/>
  <c r="AS70" i="35" s="1"/>
  <c r="O100" i="35"/>
  <c r="O48" i="35"/>
  <c r="O92" i="35" s="1"/>
  <c r="BF116" i="35"/>
  <c r="O113" i="35"/>
  <c r="V68" i="35"/>
  <c r="AJ50" i="35"/>
  <c r="AJ117" i="35" s="1"/>
  <c r="N43" i="35"/>
  <c r="N87" i="35" s="1"/>
  <c r="T74" i="35"/>
  <c r="BE52" i="35"/>
  <c r="M51" i="35"/>
  <c r="M118" i="35" s="1"/>
  <c r="BE118" i="35" s="1"/>
  <c r="O90" i="35"/>
  <c r="AK53" i="35"/>
  <c r="AK120" i="35" s="1"/>
  <c r="V78" i="35"/>
  <c r="N52" i="35"/>
  <c r="N96" i="35" s="1"/>
  <c r="N115" i="35"/>
  <c r="BF115" i="35" s="1"/>
  <c r="U70" i="35"/>
  <c r="BF48" i="35"/>
  <c r="P58" i="35"/>
  <c r="N47" i="35"/>
  <c r="U67" i="35"/>
  <c r="AI101" i="35"/>
  <c r="AP79" i="35"/>
  <c r="BE57" i="35"/>
  <c r="AJ99" i="35"/>
  <c r="AQ77" i="35"/>
  <c r="BF55" i="35"/>
  <c r="N50" i="35"/>
  <c r="N94" i="35" s="1"/>
  <c r="N89" i="35"/>
  <c r="AK44" i="35"/>
  <c r="Q57" i="35"/>
  <c r="Q124" i="35" s="1"/>
  <c r="AJ45" i="35"/>
  <c r="AQ67" i="35" s="1"/>
  <c r="AI124" i="35"/>
  <c r="BE124" i="35" s="1"/>
  <c r="W79" i="35"/>
  <c r="AI119" i="35"/>
  <c r="BE119" i="35" s="1"/>
  <c r="AK43" i="35"/>
  <c r="AK87" i="35" s="1"/>
  <c r="AJ102" i="35"/>
  <c r="AQ80" i="35"/>
  <c r="BF58" i="35"/>
  <c r="N112" i="35"/>
  <c r="AI91" i="35"/>
  <c r="AP69" i="35"/>
  <c r="P54" i="35"/>
  <c r="P121" i="35" s="1"/>
  <c r="AK46" i="35"/>
  <c r="BG46" i="35" s="1"/>
  <c r="AI114" i="35"/>
  <c r="BE114" i="35" s="1"/>
  <c r="N120" i="35"/>
  <c r="BF120" i="35" s="1"/>
  <c r="U75" i="35"/>
  <c r="BF53" i="35"/>
  <c r="AK51" i="35"/>
  <c r="AR73" i="35" s="1"/>
  <c r="O44" i="35"/>
  <c r="O111" i="35" s="1"/>
  <c r="P99" i="35"/>
  <c r="W77" i="35"/>
  <c r="AJ98" i="35"/>
  <c r="AQ76" i="35"/>
  <c r="N97" i="35"/>
  <c r="V76" i="35"/>
  <c r="U71" i="35"/>
  <c r="BF49" i="35"/>
  <c r="AK56" i="35"/>
  <c r="AR78" i="35" s="1"/>
  <c r="P56" i="35"/>
  <c r="P123" i="35" s="1"/>
  <c r="AJ93" i="35"/>
  <c r="AQ71" i="35"/>
  <c r="O49" i="35"/>
  <c r="O93" i="35" s="1"/>
  <c r="BF45" i="35" l="1"/>
  <c r="AK110" i="35"/>
  <c r="AK113" i="35"/>
  <c r="BG113" i="35" s="1"/>
  <c r="AJ112" i="35"/>
  <c r="BF112" i="35" s="1"/>
  <c r="AJ89" i="35"/>
  <c r="Q101" i="35"/>
  <c r="R57" i="35" s="1"/>
  <c r="R101" i="35" s="1"/>
  <c r="AK100" i="35"/>
  <c r="AL56" i="35" s="1"/>
  <c r="AS78" i="35" s="1"/>
  <c r="AK123" i="35"/>
  <c r="BG123" i="35" s="1"/>
  <c r="AJ96" i="35"/>
  <c r="AK52" i="35" s="1"/>
  <c r="AR74" i="35" s="1"/>
  <c r="O50" i="35"/>
  <c r="O117" i="35" s="1"/>
  <c r="AL43" i="35"/>
  <c r="AL110" i="35" s="1"/>
  <c r="O43" i="35"/>
  <c r="O110" i="35" s="1"/>
  <c r="BG110" i="35" s="1"/>
  <c r="P49" i="35"/>
  <c r="P116" i="35" s="1"/>
  <c r="P48" i="35"/>
  <c r="P92" i="35" s="1"/>
  <c r="AK49" i="35"/>
  <c r="AR71" i="35" s="1"/>
  <c r="O88" i="35"/>
  <c r="V66" i="35"/>
  <c r="BG44" i="35"/>
  <c r="AJ47" i="35"/>
  <c r="AQ69" i="35" s="1"/>
  <c r="U74" i="35"/>
  <c r="BF52" i="35"/>
  <c r="M95" i="35"/>
  <c r="BE51" i="35"/>
  <c r="T73" i="35"/>
  <c r="P100" i="35"/>
  <c r="W78" i="35"/>
  <c r="AK88" i="35"/>
  <c r="AR66" i="35"/>
  <c r="N114" i="35"/>
  <c r="U69" i="35"/>
  <c r="O52" i="35"/>
  <c r="O119" i="35" s="1"/>
  <c r="P46" i="35"/>
  <c r="P113" i="35" s="1"/>
  <c r="AK118" i="35"/>
  <c r="AJ119" i="35"/>
  <c r="AK111" i="35"/>
  <c r="BG111" i="35" s="1"/>
  <c r="N91" i="35"/>
  <c r="N119" i="35"/>
  <c r="N117" i="35"/>
  <c r="BF117" i="35" s="1"/>
  <c r="U72" i="35"/>
  <c r="BF50" i="35"/>
  <c r="AJ94" i="35"/>
  <c r="AQ72" i="35"/>
  <c r="AK54" i="35"/>
  <c r="AK98" i="35" s="1"/>
  <c r="AK95" i="35"/>
  <c r="O45" i="35"/>
  <c r="AK55" i="35"/>
  <c r="AK122" i="35" s="1"/>
  <c r="BG122" i="35" s="1"/>
  <c r="P102" i="35"/>
  <c r="W80" i="35"/>
  <c r="BG56" i="35"/>
  <c r="AK90" i="35"/>
  <c r="AR68" i="35"/>
  <c r="AK58" i="35"/>
  <c r="AK102" i="35" s="1"/>
  <c r="AK45" i="35"/>
  <c r="AR67" i="35" s="1"/>
  <c r="AL92" i="35"/>
  <c r="P125" i="35"/>
  <c r="N110" i="35"/>
  <c r="O53" i="35"/>
  <c r="O97" i="35" s="1"/>
  <c r="O116" i="35"/>
  <c r="V71" i="35"/>
  <c r="AL115" i="35"/>
  <c r="Q55" i="35"/>
  <c r="Q122" i="35" s="1"/>
  <c r="P98" i="35"/>
  <c r="W76" i="35"/>
  <c r="AR65" i="35"/>
  <c r="AJ57" i="35"/>
  <c r="AK97" i="35"/>
  <c r="AR75" i="35"/>
  <c r="U65" i="35"/>
  <c r="BF43" i="35"/>
  <c r="O115" i="35"/>
  <c r="BG115" i="35" s="1"/>
  <c r="V70" i="35"/>
  <c r="BG48" i="35"/>
  <c r="BG49" i="35" l="1"/>
  <c r="AJ114" i="35"/>
  <c r="AL100" i="35"/>
  <c r="AM56" i="35" s="1"/>
  <c r="P115" i="35"/>
  <c r="BH115" i="35" s="1"/>
  <c r="AK121" i="35"/>
  <c r="BG121" i="35" s="1"/>
  <c r="Q99" i="35"/>
  <c r="R55" i="35" s="1"/>
  <c r="R122" i="35" s="1"/>
  <c r="BF114" i="35"/>
  <c r="BF119" i="35"/>
  <c r="AK99" i="35"/>
  <c r="AL55" i="35" s="1"/>
  <c r="AL99" i="35" s="1"/>
  <c r="AK116" i="35"/>
  <c r="AK89" i="35"/>
  <c r="AL45" i="35" s="1"/>
  <c r="AL89" i="35" s="1"/>
  <c r="O87" i="35"/>
  <c r="P43" i="35" s="1"/>
  <c r="P110" i="35" s="1"/>
  <c r="BH110" i="35" s="1"/>
  <c r="Q56" i="35"/>
  <c r="Q123" i="35" s="1"/>
  <c r="AL51" i="35"/>
  <c r="AS73" i="35" s="1"/>
  <c r="AJ124" i="35"/>
  <c r="BF124" i="35" s="1"/>
  <c r="AQ79" i="35"/>
  <c r="BF57" i="35"/>
  <c r="V75" i="35"/>
  <c r="BG53" i="35"/>
  <c r="AK112" i="35"/>
  <c r="Q58" i="35"/>
  <c r="Q102" i="35" s="1"/>
  <c r="AL54" i="35"/>
  <c r="AL98" i="35" s="1"/>
  <c r="BG43" i="35"/>
  <c r="V65" i="35"/>
  <c r="AL53" i="35"/>
  <c r="AS75" i="35" s="1"/>
  <c r="Q54" i="35"/>
  <c r="Q121" i="35" s="1"/>
  <c r="P53" i="35"/>
  <c r="P120" i="35" s="1"/>
  <c r="AJ101" i="35"/>
  <c r="O120" i="35"/>
  <c r="BG120" i="35" s="1"/>
  <c r="AL58" i="35"/>
  <c r="AL102" i="35" s="1"/>
  <c r="AR76" i="35"/>
  <c r="BG54" i="35"/>
  <c r="O47" i="35"/>
  <c r="W68" i="35"/>
  <c r="AL44" i="35"/>
  <c r="Q48" i="35"/>
  <c r="BG116" i="35"/>
  <c r="AK125" i="35"/>
  <c r="BG125" i="35" s="1"/>
  <c r="AR80" i="35"/>
  <c r="BG58" i="35"/>
  <c r="P90" i="35"/>
  <c r="AK119" i="35"/>
  <c r="BG119" i="35" s="1"/>
  <c r="N51" i="35"/>
  <c r="N95" i="35" s="1"/>
  <c r="P44" i="35"/>
  <c r="P88" i="35" s="1"/>
  <c r="W70" i="35"/>
  <c r="BH48" i="35"/>
  <c r="AL87" i="35"/>
  <c r="AS65" i="35"/>
  <c r="BF110" i="35"/>
  <c r="AR77" i="35"/>
  <c r="BG55" i="35"/>
  <c r="AK50" i="35"/>
  <c r="AR72" i="35" s="1"/>
  <c r="AK96" i="35"/>
  <c r="R124" i="35"/>
  <c r="AL46" i="35"/>
  <c r="BH46" i="35" s="1"/>
  <c r="O112" i="35"/>
  <c r="V67" i="35"/>
  <c r="BG45" i="35"/>
  <c r="O96" i="35"/>
  <c r="V74" i="35"/>
  <c r="BG52" i="35"/>
  <c r="S57" i="35"/>
  <c r="S124" i="35" s="1"/>
  <c r="P93" i="35"/>
  <c r="W71" i="35"/>
  <c r="O94" i="35"/>
  <c r="V72" i="35"/>
  <c r="AM48" i="35"/>
  <c r="AM92" i="35" s="1"/>
  <c r="O89" i="35"/>
  <c r="AL123" i="35"/>
  <c r="BH123" i="35" s="1"/>
  <c r="BF47" i="35"/>
  <c r="BH56" i="35"/>
  <c r="AJ91" i="35"/>
  <c r="AK93" i="35"/>
  <c r="BI56" i="35" l="1"/>
  <c r="AL95" i="35"/>
  <c r="P97" i="35"/>
  <c r="AM100" i="35"/>
  <c r="AN56" i="35" s="1"/>
  <c r="AN100" i="35" s="1"/>
  <c r="Q100" i="35"/>
  <c r="R56" i="35" s="1"/>
  <c r="R123" i="35" s="1"/>
  <c r="AL97" i="35"/>
  <c r="AM53" i="35" s="1"/>
  <c r="AL120" i="35"/>
  <c r="BH120" i="35" s="1"/>
  <c r="P111" i="35"/>
  <c r="BG50" i="35"/>
  <c r="AK117" i="35"/>
  <c r="BG117" i="35" s="1"/>
  <c r="AL118" i="35"/>
  <c r="AM55" i="35"/>
  <c r="BI55" i="35" s="1"/>
  <c r="O51" i="35"/>
  <c r="AL88" i="35"/>
  <c r="AS66" i="35"/>
  <c r="Q53" i="35"/>
  <c r="Q97" i="35" s="1"/>
  <c r="P87" i="35"/>
  <c r="BH43" i="35"/>
  <c r="W65" i="35"/>
  <c r="AL121" i="35"/>
  <c r="BH121" i="35" s="1"/>
  <c r="AS76" i="35"/>
  <c r="BH54" i="35"/>
  <c r="P52" i="35"/>
  <c r="P96" i="35" s="1"/>
  <c r="AL52" i="35"/>
  <c r="AS74" i="35" s="1"/>
  <c r="AL111" i="35"/>
  <c r="AM58" i="35"/>
  <c r="AM102" i="35" s="1"/>
  <c r="W75" i="35"/>
  <c r="BH53" i="35"/>
  <c r="R58" i="35"/>
  <c r="R125" i="35" s="1"/>
  <c r="AM43" i="35"/>
  <c r="AM87" i="35" s="1"/>
  <c r="AL125" i="35"/>
  <c r="BH125" i="35" s="1"/>
  <c r="AS80" i="35"/>
  <c r="BH58" i="35"/>
  <c r="Q98" i="35"/>
  <c r="Q125" i="35"/>
  <c r="AM51" i="35"/>
  <c r="AM118" i="35" s="1"/>
  <c r="AL49" i="35"/>
  <c r="AL116" i="35" s="1"/>
  <c r="BH116" i="35" s="1"/>
  <c r="AK47" i="35"/>
  <c r="AK91" i="35" s="1"/>
  <c r="N118" i="35"/>
  <c r="BF118" i="35" s="1"/>
  <c r="U73" i="35"/>
  <c r="BF51" i="35"/>
  <c r="Q46" i="35"/>
  <c r="Q90" i="35" s="1"/>
  <c r="AM45" i="35"/>
  <c r="AM89" i="35" s="1"/>
  <c r="AM123" i="35"/>
  <c r="BI123" i="35" s="1"/>
  <c r="BG112" i="35"/>
  <c r="AM54" i="35"/>
  <c r="BI54" i="35" s="1"/>
  <c r="P50" i="35"/>
  <c r="P117" i="35" s="1"/>
  <c r="P45" i="35"/>
  <c r="P112" i="35" s="1"/>
  <c r="Q49" i="35"/>
  <c r="Q93" i="35" s="1"/>
  <c r="AK94" i="35"/>
  <c r="AL112" i="35"/>
  <c r="AS67" i="35"/>
  <c r="V69" i="35"/>
  <c r="R99" i="35"/>
  <c r="AM115" i="35"/>
  <c r="Q44" i="35"/>
  <c r="Q111" i="35" s="1"/>
  <c r="AL122" i="35"/>
  <c r="BH122" i="35" s="1"/>
  <c r="AS77" i="35"/>
  <c r="BH55" i="35"/>
  <c r="O114" i="35"/>
  <c r="AL90" i="35"/>
  <c r="AS68" i="35"/>
  <c r="Q92" i="35"/>
  <c r="BI48" i="35"/>
  <c r="AN48" i="35"/>
  <c r="AN92" i="35" s="1"/>
  <c r="S101" i="35"/>
  <c r="AL113" i="35"/>
  <c r="BH113" i="35" s="1"/>
  <c r="BH44" i="35"/>
  <c r="W66" i="35"/>
  <c r="Q115" i="35"/>
  <c r="O91" i="35"/>
  <c r="AK57" i="35"/>
  <c r="AK124" i="35" s="1"/>
  <c r="BG124" i="35" s="1"/>
  <c r="BI53" i="35" l="1"/>
  <c r="Q88" i="35"/>
  <c r="R44" i="35" s="1"/>
  <c r="R111" i="35" s="1"/>
  <c r="AL96" i="35"/>
  <c r="AM52" i="35" s="1"/>
  <c r="AM119" i="35" s="1"/>
  <c r="BI58" i="35"/>
  <c r="AN115" i="35"/>
  <c r="AM97" i="35"/>
  <c r="AN53" i="35" s="1"/>
  <c r="AM125" i="35"/>
  <c r="BI125" i="35" s="1"/>
  <c r="AM122" i="35"/>
  <c r="BI122" i="35" s="1"/>
  <c r="BI115" i="35"/>
  <c r="AM110" i="35"/>
  <c r="BH111" i="35"/>
  <c r="AM112" i="35"/>
  <c r="R102" i="35"/>
  <c r="S58" i="35" s="1"/>
  <c r="S125" i="35" s="1"/>
  <c r="AL119" i="35"/>
  <c r="BJ56" i="35"/>
  <c r="BG47" i="35"/>
  <c r="AM95" i="35"/>
  <c r="AN51" i="35" s="1"/>
  <c r="AN118" i="35" s="1"/>
  <c r="AK101" i="35"/>
  <c r="AL57" i="35" s="1"/>
  <c r="AL93" i="35"/>
  <c r="AM49" i="35" s="1"/>
  <c r="AM93" i="35" s="1"/>
  <c r="R100" i="35"/>
  <c r="S56" i="35" s="1"/>
  <c r="S123" i="35" s="1"/>
  <c r="AM99" i="35"/>
  <c r="AN55" i="35" s="1"/>
  <c r="BJ55" i="35" s="1"/>
  <c r="AN45" i="35"/>
  <c r="AN112" i="35" s="1"/>
  <c r="R53" i="35"/>
  <c r="R97" i="35" s="1"/>
  <c r="R46" i="35"/>
  <c r="R113" i="35" s="1"/>
  <c r="Q52" i="35"/>
  <c r="AO48" i="35"/>
  <c r="AO115" i="35" s="1"/>
  <c r="R49" i="35"/>
  <c r="R93" i="35" s="1"/>
  <c r="AN123" i="35"/>
  <c r="BJ123" i="35" s="1"/>
  <c r="AM44" i="35"/>
  <c r="BI44" i="35" s="1"/>
  <c r="AN43" i="35"/>
  <c r="AN110" i="35" s="1"/>
  <c r="V73" i="35"/>
  <c r="BG51" i="35"/>
  <c r="P119" i="35"/>
  <c r="O95" i="35"/>
  <c r="R48" i="35"/>
  <c r="R92" i="35" s="1"/>
  <c r="S55" i="35"/>
  <c r="S122" i="35" s="1"/>
  <c r="AL47" i="35"/>
  <c r="AL91" i="35" s="1"/>
  <c r="AR79" i="35"/>
  <c r="BG57" i="35"/>
  <c r="T57" i="35"/>
  <c r="T101" i="35" s="1"/>
  <c r="P94" i="35"/>
  <c r="W72" i="35"/>
  <c r="AK114" i="35"/>
  <c r="BG114" i="35" s="1"/>
  <c r="AR69" i="35"/>
  <c r="Q43" i="35"/>
  <c r="Q87" i="35" s="1"/>
  <c r="O118" i="35"/>
  <c r="BG118" i="35" s="1"/>
  <c r="Q116" i="35"/>
  <c r="W74" i="35"/>
  <c r="BH52" i="35"/>
  <c r="AM46" i="35"/>
  <c r="AM90" i="35" s="1"/>
  <c r="R54" i="35"/>
  <c r="R121" i="35" s="1"/>
  <c r="P47" i="35"/>
  <c r="P114" i="35" s="1"/>
  <c r="BH112" i="35"/>
  <c r="AM121" i="35"/>
  <c r="BI121" i="35" s="1"/>
  <c r="AN58" i="35"/>
  <c r="BJ58" i="35" s="1"/>
  <c r="Q120" i="35"/>
  <c r="AO56" i="35"/>
  <c r="P89" i="35"/>
  <c r="W67" i="35"/>
  <c r="BH45" i="35"/>
  <c r="AM120" i="35"/>
  <c r="AL50" i="35"/>
  <c r="AS72" i="35" s="1"/>
  <c r="AM98" i="35"/>
  <c r="Q113" i="35"/>
  <c r="AS71" i="35"/>
  <c r="BH49" i="35"/>
  <c r="BI52" i="35" l="1"/>
  <c r="BJ53" i="35"/>
  <c r="BI120" i="35"/>
  <c r="BH119" i="35"/>
  <c r="R90" i="35"/>
  <c r="S46" i="35" s="1"/>
  <c r="S113" i="35" s="1"/>
  <c r="AN102" i="35"/>
  <c r="AO58" i="35" s="1"/>
  <c r="AO102" i="35" s="1"/>
  <c r="AL117" i="35"/>
  <c r="BH117" i="35" s="1"/>
  <c r="AM111" i="35"/>
  <c r="BI111" i="35" s="1"/>
  <c r="AN125" i="35"/>
  <c r="BJ125" i="35" s="1"/>
  <c r="AM113" i="35"/>
  <c r="BI113" i="35" s="1"/>
  <c r="R120" i="35"/>
  <c r="BK56" i="35"/>
  <c r="R88" i="35"/>
  <c r="S44" i="35" s="1"/>
  <c r="S111" i="35" s="1"/>
  <c r="P91" i="35"/>
  <c r="Q47" i="35" s="1"/>
  <c r="Q114" i="35" s="1"/>
  <c r="AO92" i="35"/>
  <c r="AP48" i="35" s="1"/>
  <c r="AP115" i="35" s="1"/>
  <c r="R98" i="35"/>
  <c r="S54" i="35" s="1"/>
  <c r="S98" i="35" s="1"/>
  <c r="AM88" i="35"/>
  <c r="AN44" i="35" s="1"/>
  <c r="AN111" i="35" s="1"/>
  <c r="BJ111" i="35" s="1"/>
  <c r="AN99" i="35"/>
  <c r="AO55" i="35" s="1"/>
  <c r="AO99" i="35" s="1"/>
  <c r="AL124" i="35"/>
  <c r="BH124" i="35" s="1"/>
  <c r="AL101" i="35"/>
  <c r="AM57" i="35" s="1"/>
  <c r="BI57" i="35" s="1"/>
  <c r="S100" i="35"/>
  <c r="T56" i="35" s="1"/>
  <c r="T100" i="35" s="1"/>
  <c r="AN122" i="35"/>
  <c r="BJ122" i="35" s="1"/>
  <c r="Q110" i="35"/>
  <c r="BI110" i="35" s="1"/>
  <c r="AM96" i="35"/>
  <c r="AN52" i="35" s="1"/>
  <c r="AL94" i="35"/>
  <c r="AM50" i="35" s="1"/>
  <c r="AM94" i="35" s="1"/>
  <c r="U57" i="35"/>
  <c r="U124" i="35" s="1"/>
  <c r="R43" i="35"/>
  <c r="BJ43" i="35" s="1"/>
  <c r="AM47" i="35"/>
  <c r="AM91" i="35" s="1"/>
  <c r="S49" i="35"/>
  <c r="S93" i="35" s="1"/>
  <c r="S102" i="35"/>
  <c r="BI49" i="35"/>
  <c r="AL114" i="35"/>
  <c r="BH114" i="35" s="1"/>
  <c r="AS69" i="35"/>
  <c r="AN95" i="35"/>
  <c r="AN87" i="35"/>
  <c r="R116" i="35"/>
  <c r="AN49" i="35"/>
  <c r="AN116" i="35" s="1"/>
  <c r="BJ116" i="35" s="1"/>
  <c r="AN46" i="35"/>
  <c r="BJ46" i="35" s="1"/>
  <c r="BH50" i="35"/>
  <c r="S48" i="35"/>
  <c r="S115" i="35" s="1"/>
  <c r="BK115" i="35" s="1"/>
  <c r="AO100" i="35"/>
  <c r="Q50" i="35"/>
  <c r="Q94" i="35" s="1"/>
  <c r="R115" i="35"/>
  <c r="BJ115" i="35" s="1"/>
  <c r="BJ48" i="35"/>
  <c r="S53" i="35"/>
  <c r="S120" i="35" s="1"/>
  <c r="Q45" i="35"/>
  <c r="Q112" i="35" s="1"/>
  <c r="BI112" i="35" s="1"/>
  <c r="P51" i="35"/>
  <c r="AN120" i="35"/>
  <c r="BI46" i="35"/>
  <c r="AN54" i="35"/>
  <c r="BJ54" i="35" s="1"/>
  <c r="AO123" i="35"/>
  <c r="BK123" i="35" s="1"/>
  <c r="W69" i="35"/>
  <c r="BH47" i="35"/>
  <c r="AS79" i="35"/>
  <c r="BH57" i="35"/>
  <c r="BI43" i="35"/>
  <c r="T124" i="35"/>
  <c r="S99" i="35"/>
  <c r="Q96" i="35"/>
  <c r="AN97" i="35"/>
  <c r="AM116" i="35"/>
  <c r="BI116" i="35" s="1"/>
  <c r="Q119" i="35"/>
  <c r="BI119" i="35" s="1"/>
  <c r="AN89" i="35"/>
  <c r="S88" i="35" l="1"/>
  <c r="BJ120" i="35"/>
  <c r="R110" i="35"/>
  <c r="BJ110" i="35" s="1"/>
  <c r="AM114" i="35"/>
  <c r="R87" i="35"/>
  <c r="S43" i="35" s="1"/>
  <c r="S87" i="35" s="1"/>
  <c r="T123" i="35"/>
  <c r="S90" i="35"/>
  <c r="T46" i="35" s="1"/>
  <c r="T90" i="35" s="1"/>
  <c r="BI114" i="35"/>
  <c r="AO125" i="35"/>
  <c r="BK125" i="35" s="1"/>
  <c r="S121" i="35"/>
  <c r="Q91" i="35"/>
  <c r="R47" i="35" s="1"/>
  <c r="AN96" i="35"/>
  <c r="AN119" i="35"/>
  <c r="AM117" i="35"/>
  <c r="BI50" i="35"/>
  <c r="AN98" i="35"/>
  <c r="AO54" i="35" s="1"/>
  <c r="BK54" i="35" s="1"/>
  <c r="AN113" i="35"/>
  <c r="BJ113" i="35" s="1"/>
  <c r="AO122" i="35"/>
  <c r="BK122" i="35" s="1"/>
  <c r="S97" i="35"/>
  <c r="T53" i="35" s="1"/>
  <c r="T97" i="35" s="1"/>
  <c r="AP92" i="35"/>
  <c r="AQ48" i="35" s="1"/>
  <c r="AQ115" i="35" s="1"/>
  <c r="AN90" i="35"/>
  <c r="AO46" i="35" s="1"/>
  <c r="BK46" i="35" s="1"/>
  <c r="AN47" i="35"/>
  <c r="AN91" i="35" s="1"/>
  <c r="U56" i="35"/>
  <c r="U123" i="35" s="1"/>
  <c r="T44" i="35"/>
  <c r="T88" i="35" s="1"/>
  <c r="T58" i="35"/>
  <c r="BK55" i="35"/>
  <c r="AP56" i="35"/>
  <c r="BL56" i="35" s="1"/>
  <c r="S92" i="35"/>
  <c r="BK48" i="35"/>
  <c r="BJ49" i="35"/>
  <c r="AP58" i="35"/>
  <c r="AP102" i="35" s="1"/>
  <c r="T54" i="35"/>
  <c r="T98" i="35" s="1"/>
  <c r="T55" i="35"/>
  <c r="AM101" i="35"/>
  <c r="R50" i="35"/>
  <c r="AO43" i="35"/>
  <c r="AO110" i="35" s="1"/>
  <c r="R52" i="35"/>
  <c r="BJ52" i="35" s="1"/>
  <c r="AO45" i="35"/>
  <c r="AO89" i="35" s="1"/>
  <c r="AM124" i="35"/>
  <c r="BI124" i="35" s="1"/>
  <c r="Q89" i="35"/>
  <c r="BI45" i="35"/>
  <c r="Q117" i="35"/>
  <c r="AO51" i="35"/>
  <c r="AO95" i="35" s="1"/>
  <c r="AN50" i="35"/>
  <c r="AN94" i="35" s="1"/>
  <c r="AP55" i="35"/>
  <c r="AP99" i="35" s="1"/>
  <c r="BI47" i="35"/>
  <c r="AN88" i="35"/>
  <c r="P118" i="35"/>
  <c r="BH118" i="35" s="1"/>
  <c r="W73" i="35"/>
  <c r="BH51" i="35"/>
  <c r="T49" i="35"/>
  <c r="T116" i="35" s="1"/>
  <c r="BJ44" i="35"/>
  <c r="AO53" i="35"/>
  <c r="BK53" i="35" s="1"/>
  <c r="AN121" i="35"/>
  <c r="BJ121" i="35" s="1"/>
  <c r="P95" i="35"/>
  <c r="AO52" i="35"/>
  <c r="AO96" i="35" s="1"/>
  <c r="AN93" i="35"/>
  <c r="S116" i="35"/>
  <c r="BK58" i="35"/>
  <c r="U101" i="35"/>
  <c r="BI117" i="35" l="1"/>
  <c r="AO112" i="35"/>
  <c r="T111" i="35"/>
  <c r="AO87" i="35"/>
  <c r="AP43" i="35" s="1"/>
  <c r="AP110" i="35" s="1"/>
  <c r="S110" i="35"/>
  <c r="BK110" i="35" s="1"/>
  <c r="U100" i="35"/>
  <c r="V56" i="35" s="1"/>
  <c r="V100" i="35" s="1"/>
  <c r="AO118" i="35"/>
  <c r="AN114" i="35"/>
  <c r="AO120" i="35"/>
  <c r="BK120" i="35" s="1"/>
  <c r="AP100" i="35"/>
  <c r="AO121" i="35"/>
  <c r="BK121" i="35" s="1"/>
  <c r="AO97" i="35"/>
  <c r="AP53" i="35" s="1"/>
  <c r="BL53" i="35" s="1"/>
  <c r="BL55" i="35"/>
  <c r="AP123" i="35"/>
  <c r="BL123" i="35" s="1"/>
  <c r="BL58" i="35"/>
  <c r="T120" i="35"/>
  <c r="AO119" i="35"/>
  <c r="T93" i="35"/>
  <c r="U49" i="35" s="1"/>
  <c r="R119" i="35"/>
  <c r="BJ119" i="35" s="1"/>
  <c r="R96" i="35"/>
  <c r="U46" i="35"/>
  <c r="U113" i="35" s="1"/>
  <c r="AQ58" i="35"/>
  <c r="AQ102" i="35" s="1"/>
  <c r="AP52" i="35"/>
  <c r="AP96" i="35" s="1"/>
  <c r="T122" i="35"/>
  <c r="T102" i="35"/>
  <c r="U53" i="35"/>
  <c r="U97" i="35" s="1"/>
  <c r="AP122" i="35"/>
  <c r="AQ92" i="35"/>
  <c r="T125" i="35"/>
  <c r="R91" i="35"/>
  <c r="BJ47" i="35"/>
  <c r="AQ55" i="35"/>
  <c r="AQ99" i="35" s="1"/>
  <c r="AN117" i="35"/>
  <c r="R94" i="35"/>
  <c r="BJ50" i="35"/>
  <c r="T121" i="35"/>
  <c r="AQ56" i="35"/>
  <c r="BM56" i="35" s="1"/>
  <c r="U44" i="35"/>
  <c r="U111" i="35" s="1"/>
  <c r="V57" i="35"/>
  <c r="AO50" i="35"/>
  <c r="AO94" i="35" s="1"/>
  <c r="AP45" i="35"/>
  <c r="AP89" i="35" s="1"/>
  <c r="BK43" i="35"/>
  <c r="R117" i="35"/>
  <c r="AP125" i="35"/>
  <c r="Q51" i="35"/>
  <c r="BI51" i="35" s="1"/>
  <c r="T43" i="35"/>
  <c r="T87" i="35" s="1"/>
  <c r="T48" i="35"/>
  <c r="T92" i="35" s="1"/>
  <c r="T113" i="35"/>
  <c r="AO44" i="35"/>
  <c r="BK44" i="35" s="1"/>
  <c r="AO90" i="35"/>
  <c r="AN57" i="35"/>
  <c r="BJ57" i="35" s="1"/>
  <c r="AP51" i="35"/>
  <c r="AP118" i="35" s="1"/>
  <c r="R45" i="35"/>
  <c r="R112" i="35" s="1"/>
  <c r="BJ112" i="35" s="1"/>
  <c r="U54" i="35"/>
  <c r="U121" i="35" s="1"/>
  <c r="AO49" i="35"/>
  <c r="AO116" i="35" s="1"/>
  <c r="BK116" i="35" s="1"/>
  <c r="R114" i="35"/>
  <c r="AO113" i="35"/>
  <c r="BK113" i="35" s="1"/>
  <c r="T99" i="35"/>
  <c r="AO98" i="35"/>
  <c r="AO47" i="35"/>
  <c r="AO91" i="35" s="1"/>
  <c r="BJ114" i="35" l="1"/>
  <c r="AQ125" i="35"/>
  <c r="AQ100" i="35"/>
  <c r="AO111" i="35"/>
  <c r="BK111" i="35" s="1"/>
  <c r="AP120" i="35"/>
  <c r="BL120" i="35" s="1"/>
  <c r="AO114" i="35"/>
  <c r="AO117" i="35"/>
  <c r="U120" i="35"/>
  <c r="AO88" i="35"/>
  <c r="AP44" i="35" s="1"/>
  <c r="BL44" i="35" s="1"/>
  <c r="AP87" i="35"/>
  <c r="AQ43" i="35" s="1"/>
  <c r="AQ110" i="35" s="1"/>
  <c r="BL122" i="35"/>
  <c r="BL125" i="35"/>
  <c r="V123" i="35"/>
  <c r="U90" i="35"/>
  <c r="V46" i="35" s="1"/>
  <c r="V90" i="35" s="1"/>
  <c r="AN124" i="35"/>
  <c r="BJ124" i="35" s="1"/>
  <c r="S52" i="35"/>
  <c r="S96" i="35" s="1"/>
  <c r="T52" i="35" s="1"/>
  <c r="T119" i="35" s="1"/>
  <c r="BL119" i="35" s="1"/>
  <c r="U88" i="35"/>
  <c r="V44" i="35" s="1"/>
  <c r="V88" i="35" s="1"/>
  <c r="U93" i="35"/>
  <c r="V49" i="35" s="1"/>
  <c r="V116" i="35" s="1"/>
  <c r="U116" i="35"/>
  <c r="AP119" i="35"/>
  <c r="U98" i="35"/>
  <c r="V54" i="35" s="1"/>
  <c r="V98" i="35" s="1"/>
  <c r="AP95" i="35"/>
  <c r="AQ51" i="35" s="1"/>
  <c r="AQ95" i="35" s="1"/>
  <c r="AP112" i="35"/>
  <c r="BJ117" i="35"/>
  <c r="AQ123" i="35"/>
  <c r="BM123" i="35" s="1"/>
  <c r="AR55" i="35"/>
  <c r="AR99" i="35" s="1"/>
  <c r="U43" i="35"/>
  <c r="AP50" i="35"/>
  <c r="AP94" i="35" s="1"/>
  <c r="AR56" i="35"/>
  <c r="AR100" i="35" s="1"/>
  <c r="AQ122" i="35"/>
  <c r="AP47" i="35"/>
  <c r="AP91" i="35" s="1"/>
  <c r="V124" i="35"/>
  <c r="AR48" i="35"/>
  <c r="AR115" i="35" s="1"/>
  <c r="U58" i="35"/>
  <c r="BM58" i="35" s="1"/>
  <c r="S47" i="35"/>
  <c r="BK47" i="35" s="1"/>
  <c r="AO93" i="35"/>
  <c r="BK49" i="35"/>
  <c r="AP54" i="35"/>
  <c r="AP121" i="35" s="1"/>
  <c r="BL121" i="35" s="1"/>
  <c r="AP97" i="35"/>
  <c r="AP46" i="35"/>
  <c r="BL46" i="35" s="1"/>
  <c r="AR58" i="35"/>
  <c r="AR125" i="35" s="1"/>
  <c r="U55" i="35"/>
  <c r="U99" i="35" s="1"/>
  <c r="T110" i="35"/>
  <c r="BL110" i="35" s="1"/>
  <c r="BL43" i="35"/>
  <c r="W56" i="35"/>
  <c r="W123" i="35" s="1"/>
  <c r="V53" i="35"/>
  <c r="V120" i="35" s="1"/>
  <c r="T115" i="35"/>
  <c r="BL115" i="35" s="1"/>
  <c r="BL48" i="35"/>
  <c r="V101" i="35"/>
  <c r="Q95" i="35"/>
  <c r="AQ45" i="35"/>
  <c r="AQ112" i="35" s="1"/>
  <c r="S50" i="35"/>
  <c r="S117" i="35" s="1"/>
  <c r="R89" i="35"/>
  <c r="BJ45" i="35"/>
  <c r="U48" i="35"/>
  <c r="U115" i="35" s="1"/>
  <c r="BM115" i="35" s="1"/>
  <c r="AN101" i="35"/>
  <c r="Q118" i="35"/>
  <c r="BI118" i="35" s="1"/>
  <c r="AQ52" i="35"/>
  <c r="AQ96" i="35" s="1"/>
  <c r="BK117" i="35" l="1"/>
  <c r="S114" i="35"/>
  <c r="BK114" i="35" s="1"/>
  <c r="BK52" i="35"/>
  <c r="AQ89" i="35"/>
  <c r="S119" i="35"/>
  <c r="BK119" i="35" s="1"/>
  <c r="AR102" i="35"/>
  <c r="AS58" i="35" s="1"/>
  <c r="BM55" i="35"/>
  <c r="AP113" i="35"/>
  <c r="BL113" i="35" s="1"/>
  <c r="S91" i="35"/>
  <c r="T47" i="35" s="1"/>
  <c r="T114" i="35" s="1"/>
  <c r="AR122" i="35"/>
  <c r="V121" i="35"/>
  <c r="AP111" i="35"/>
  <c r="BL111" i="35" s="1"/>
  <c r="V97" i="35"/>
  <c r="W53" i="35" s="1"/>
  <c r="W97" i="35" s="1"/>
  <c r="AP88" i="35"/>
  <c r="AQ44" i="35" s="1"/>
  <c r="BM44" i="35" s="1"/>
  <c r="W100" i="35"/>
  <c r="AP117" i="35"/>
  <c r="AR123" i="35"/>
  <c r="BN123" i="35" s="1"/>
  <c r="AQ118" i="35"/>
  <c r="U125" i="35"/>
  <c r="BM125" i="35" s="1"/>
  <c r="BN56" i="35"/>
  <c r="U102" i="35"/>
  <c r="V58" i="35" s="1"/>
  <c r="V125" i="35" s="1"/>
  <c r="BN125" i="35" s="1"/>
  <c r="W44" i="35"/>
  <c r="W111" i="35" s="1"/>
  <c r="V55" i="35"/>
  <c r="BN55" i="35" s="1"/>
  <c r="AQ50" i="35"/>
  <c r="AQ94" i="35" s="1"/>
  <c r="AR52" i="35"/>
  <c r="AR96" i="35" s="1"/>
  <c r="AR51" i="35"/>
  <c r="AR118" i="35" s="1"/>
  <c r="AP90" i="35"/>
  <c r="AP114" i="35"/>
  <c r="AQ53" i="35"/>
  <c r="BM53" i="35" s="1"/>
  <c r="BM43" i="35"/>
  <c r="AQ47" i="35"/>
  <c r="AQ114" i="35" s="1"/>
  <c r="U92" i="35"/>
  <c r="BM48" i="35"/>
  <c r="W54" i="35"/>
  <c r="W98" i="35" s="1"/>
  <c r="V93" i="35"/>
  <c r="U110" i="35"/>
  <c r="BM110" i="35" s="1"/>
  <c r="S45" i="35"/>
  <c r="AP98" i="35"/>
  <c r="BL54" i="35"/>
  <c r="AR92" i="35"/>
  <c r="U87" i="35"/>
  <c r="W57" i="35"/>
  <c r="W101" i="35" s="1"/>
  <c r="AP49" i="35"/>
  <c r="AP93" i="35" s="1"/>
  <c r="S94" i="35"/>
  <c r="BK50" i="35"/>
  <c r="AQ119" i="35"/>
  <c r="AR45" i="35"/>
  <c r="AR112" i="35" s="1"/>
  <c r="AQ87" i="35"/>
  <c r="V113" i="35"/>
  <c r="AO57" i="35"/>
  <c r="BK57" i="35" s="1"/>
  <c r="R51" i="35"/>
  <c r="BJ51" i="35" s="1"/>
  <c r="W46" i="35"/>
  <c r="W90" i="35" s="1"/>
  <c r="V111" i="35"/>
  <c r="U122" i="35"/>
  <c r="BM122" i="35" s="1"/>
  <c r="T96" i="35"/>
  <c r="BL52" i="35"/>
  <c r="AS56" i="35"/>
  <c r="BO56" i="35" s="1"/>
  <c r="AS55" i="35"/>
  <c r="AS99" i="35" s="1"/>
  <c r="AO124" i="35" l="1"/>
  <c r="BK124" i="35" s="1"/>
  <c r="V122" i="35"/>
  <c r="BN122" i="35" s="1"/>
  <c r="AR95" i="35"/>
  <c r="AS51" i="35" s="1"/>
  <c r="AS95" i="35" s="1"/>
  <c r="AR89" i="35"/>
  <c r="AS45" i="35" s="1"/>
  <c r="AS89" i="35" s="1"/>
  <c r="AQ111" i="35"/>
  <c r="BM111" i="35" s="1"/>
  <c r="W88" i="35"/>
  <c r="AQ88" i="35"/>
  <c r="AR44" i="35" s="1"/>
  <c r="W113" i="35"/>
  <c r="AS123" i="35"/>
  <c r="BO123" i="35" s="1"/>
  <c r="AS100" i="35"/>
  <c r="AQ97" i="35"/>
  <c r="AR53" i="35" s="1"/>
  <c r="BN53" i="35" s="1"/>
  <c r="V99" i="35"/>
  <c r="W55" i="35" s="1"/>
  <c r="AQ120" i="35"/>
  <c r="BM120" i="35" s="1"/>
  <c r="AQ117" i="35"/>
  <c r="BL114" i="35"/>
  <c r="AO101" i="35"/>
  <c r="AP57" i="35" s="1"/>
  <c r="BL57" i="35" s="1"/>
  <c r="AS122" i="35"/>
  <c r="W120" i="35"/>
  <c r="T91" i="35"/>
  <c r="U47" i="35" s="1"/>
  <c r="T50" i="35"/>
  <c r="T94" i="35" s="1"/>
  <c r="AP116" i="35"/>
  <c r="BL116" i="35" s="1"/>
  <c r="BL49" i="35"/>
  <c r="W121" i="35"/>
  <c r="V102" i="35"/>
  <c r="BN58" i="35"/>
  <c r="AR43" i="35"/>
  <c r="AR110" i="35" s="1"/>
  <c r="AQ54" i="35"/>
  <c r="BM54" i="35" s="1"/>
  <c r="W124" i="35"/>
  <c r="W49" i="35"/>
  <c r="W93" i="35" s="1"/>
  <c r="V48" i="35"/>
  <c r="V115" i="35" s="1"/>
  <c r="BN115" i="35" s="1"/>
  <c r="AR119" i="35"/>
  <c r="AQ49" i="35"/>
  <c r="AQ116" i="35" s="1"/>
  <c r="BM116" i="35" s="1"/>
  <c r="V43" i="35"/>
  <c r="AS52" i="35"/>
  <c r="AS96" i="35" s="1"/>
  <c r="AQ46" i="35"/>
  <c r="BM46" i="35" s="1"/>
  <c r="S89" i="35"/>
  <c r="BK45" i="35"/>
  <c r="AS102" i="35"/>
  <c r="AQ91" i="35"/>
  <c r="U52" i="35"/>
  <c r="BM52" i="35" s="1"/>
  <c r="R118" i="35"/>
  <c r="BJ118" i="35" s="1"/>
  <c r="R95" i="35"/>
  <c r="AS48" i="35"/>
  <c r="AS115" i="35" s="1"/>
  <c r="S112" i="35"/>
  <c r="BK112" i="35" s="1"/>
  <c r="AS125" i="35"/>
  <c r="AR50" i="35"/>
  <c r="AR94" i="35" s="1"/>
  <c r="BL47" i="35"/>
  <c r="AQ113" i="35" l="1"/>
  <c r="BM113" i="35" s="1"/>
  <c r="AR117" i="35"/>
  <c r="U96" i="35"/>
  <c r="V52" i="35" s="1"/>
  <c r="BN52" i="35" s="1"/>
  <c r="AQ90" i="35"/>
  <c r="W99" i="35"/>
  <c r="BO55" i="35"/>
  <c r="BN44" i="35"/>
  <c r="AR88" i="35"/>
  <c r="AS44" i="35" s="1"/>
  <c r="BO44" i="35" s="1"/>
  <c r="AR120" i="35"/>
  <c r="BN120" i="35" s="1"/>
  <c r="W116" i="35"/>
  <c r="AS119" i="35"/>
  <c r="AR111" i="35"/>
  <c r="BN111" i="35" s="1"/>
  <c r="BN43" i="35"/>
  <c r="AR97" i="35"/>
  <c r="AS53" i="35" s="1"/>
  <c r="BO53" i="35" s="1"/>
  <c r="U91" i="35"/>
  <c r="V47" i="35" s="1"/>
  <c r="AS118" i="35"/>
  <c r="AR87" i="35"/>
  <c r="AS43" i="35" s="1"/>
  <c r="AS110" i="35" s="1"/>
  <c r="AS92" i="35"/>
  <c r="V110" i="35"/>
  <c r="BN110" i="35" s="1"/>
  <c r="V87" i="35"/>
  <c r="W43" i="35" s="1"/>
  <c r="U50" i="35"/>
  <c r="U94" i="35" s="1"/>
  <c r="U114" i="35"/>
  <c r="BM114" i="35" s="1"/>
  <c r="BM47" i="35"/>
  <c r="AQ121" i="35"/>
  <c r="BM121" i="35" s="1"/>
  <c r="T45" i="35"/>
  <c r="V92" i="35"/>
  <c r="BN48" i="35"/>
  <c r="AP124" i="35"/>
  <c r="BL124" i="35" s="1"/>
  <c r="AR46" i="35"/>
  <c r="BN46" i="35" s="1"/>
  <c r="AQ98" i="35"/>
  <c r="AS50" i="35"/>
  <c r="AS94" i="35" s="1"/>
  <c r="AP101" i="35"/>
  <c r="AQ93" i="35"/>
  <c r="BM49" i="35"/>
  <c r="W122" i="35"/>
  <c r="BO122" i="35" s="1"/>
  <c r="W58" i="35"/>
  <c r="W102" i="35" s="1"/>
  <c r="T117" i="35"/>
  <c r="BL117" i="35" s="1"/>
  <c r="BL50" i="35"/>
  <c r="S51" i="35"/>
  <c r="BK51" i="35" s="1"/>
  <c r="AS112" i="35"/>
  <c r="AR47" i="35"/>
  <c r="U119" i="35"/>
  <c r="BM119" i="35" s="1"/>
  <c r="S95" i="35" l="1"/>
  <c r="V91" i="35"/>
  <c r="V114" i="35"/>
  <c r="BN47" i="35"/>
  <c r="AR90" i="35"/>
  <c r="AS46" i="35" s="1"/>
  <c r="AS120" i="35"/>
  <c r="BO120" i="35" s="1"/>
  <c r="AS97" i="35"/>
  <c r="V119" i="35"/>
  <c r="BN119" i="35" s="1"/>
  <c r="AR91" i="35"/>
  <c r="AS47" i="35" s="1"/>
  <c r="AS91" i="35" s="1"/>
  <c r="V96" i="35"/>
  <c r="W110" i="35"/>
  <c r="BO110" i="35" s="1"/>
  <c r="AS111" i="35"/>
  <c r="BO111" i="35" s="1"/>
  <c r="AS87" i="35"/>
  <c r="AR114" i="35"/>
  <c r="AR113" i="35"/>
  <c r="BN113" i="35" s="1"/>
  <c r="T51" i="35"/>
  <c r="T118" i="35" s="1"/>
  <c r="BL118" i="35" s="1"/>
  <c r="AR49" i="35"/>
  <c r="AR116" i="35" s="1"/>
  <c r="BN116" i="35" s="1"/>
  <c r="T112" i="35"/>
  <c r="BL112" i="35" s="1"/>
  <c r="BL45" i="35"/>
  <c r="W47" i="35"/>
  <c r="W114" i="35" s="1"/>
  <c r="AQ57" i="35"/>
  <c r="AQ101" i="35" s="1"/>
  <c r="AS117" i="35"/>
  <c r="T89" i="35"/>
  <c r="W52" i="35"/>
  <c r="BO52" i="35" s="1"/>
  <c r="W48" i="35"/>
  <c r="W115" i="35" s="1"/>
  <c r="BO115" i="35" s="1"/>
  <c r="V50" i="35"/>
  <c r="V117" i="35" s="1"/>
  <c r="BN117" i="35" s="1"/>
  <c r="W125" i="35"/>
  <c r="BO58" i="35"/>
  <c r="S118" i="35"/>
  <c r="BK118" i="35" s="1"/>
  <c r="AR54" i="35"/>
  <c r="BN54" i="35" s="1"/>
  <c r="W87" i="35"/>
  <c r="BO43" i="35"/>
  <c r="AS88" i="35"/>
  <c r="U117" i="35"/>
  <c r="BM117" i="35" s="1"/>
  <c r="BM50" i="35"/>
  <c r="BN114" i="35" l="1"/>
  <c r="W96" i="35"/>
  <c r="W91" i="35"/>
  <c r="W119" i="35"/>
  <c r="BO119" i="35" s="1"/>
  <c r="AS114" i="35"/>
  <c r="AR121" i="35"/>
  <c r="BN121" i="35" s="1"/>
  <c r="AS90" i="35"/>
  <c r="BO46" i="35"/>
  <c r="W92" i="35"/>
  <c r="BO48" i="35"/>
  <c r="AQ124" i="35"/>
  <c r="BM124" i="35" s="1"/>
  <c r="BM57" i="35"/>
  <c r="AR93" i="35"/>
  <c r="BN49" i="35"/>
  <c r="AR57" i="35"/>
  <c r="BN57" i="35" s="1"/>
  <c r="BO114" i="35"/>
  <c r="BO125" i="35"/>
  <c r="BO47" i="35"/>
  <c r="AR98" i="35"/>
  <c r="V94" i="35"/>
  <c r="BN50" i="35"/>
  <c r="U45" i="35"/>
  <c r="U89" i="35" s="1"/>
  <c r="AS113" i="35"/>
  <c r="T95" i="35"/>
  <c r="BL51" i="35"/>
  <c r="AR124" i="35" l="1"/>
  <c r="BN124" i="35" s="1"/>
  <c r="AR101" i="35"/>
  <c r="AS57" i="35" s="1"/>
  <c r="BO57" i="35" s="1"/>
  <c r="V45" i="35"/>
  <c r="V112" i="35" s="1"/>
  <c r="BN112" i="35" s="1"/>
  <c r="BM45" i="35"/>
  <c r="AS49" i="35"/>
  <c r="AS93" i="35" s="1"/>
  <c r="U112" i="35"/>
  <c r="U51" i="35"/>
  <c r="W50" i="35"/>
  <c r="W117" i="35" s="1"/>
  <c r="BO117" i="35" s="1"/>
  <c r="BO113" i="35"/>
  <c r="AS54" i="35"/>
  <c r="BO54" i="35" s="1"/>
  <c r="AS121" i="35" l="1"/>
  <c r="BO121" i="35" s="1"/>
  <c r="AS98" i="35"/>
  <c r="AS101" i="35"/>
  <c r="AS116" i="35"/>
  <c r="BO49" i="35"/>
  <c r="Z8" i="3" a="1"/>
  <c r="U95" i="35"/>
  <c r="BM51" i="35"/>
  <c r="AS124" i="35"/>
  <c r="BO124" i="35" s="1"/>
  <c r="BM112" i="35"/>
  <c r="W94" i="35"/>
  <c r="BO50" i="35"/>
  <c r="U118" i="35"/>
  <c r="BM118" i="35" s="1"/>
  <c r="V89" i="35"/>
  <c r="BN45" i="35"/>
  <c r="V51" i="35" l="1"/>
  <c r="BN51" i="35" s="1"/>
  <c r="AP25" i="3"/>
  <c r="AE25" i="3"/>
  <c r="AR25" i="3"/>
  <c r="AQ25" i="3"/>
  <c r="AJ25" i="3"/>
  <c r="Z8" i="3"/>
  <c r="Z25" i="3" s="1"/>
  <c r="AG25" i="3"/>
  <c r="AO25" i="3"/>
  <c r="AI25" i="3"/>
  <c r="AK25" i="3"/>
  <c r="AM25" i="3"/>
  <c r="AL25" i="3"/>
  <c r="AH25" i="3"/>
  <c r="AC25" i="3"/>
  <c r="AD25" i="3"/>
  <c r="AF25" i="3"/>
  <c r="AS25" i="3"/>
  <c r="AB25" i="3"/>
  <c r="AA25" i="3"/>
  <c r="AN25" i="3"/>
  <c r="W45" i="35"/>
  <c r="W89" i="35" s="1"/>
  <c r="BO116" i="35"/>
  <c r="Z9" i="5" a="1"/>
  <c r="V118" i="35" l="1"/>
  <c r="BN118" i="35" s="1"/>
  <c r="V95" i="35"/>
  <c r="W51" i="35" s="1"/>
  <c r="D8" i="3" s="1" a="1"/>
  <c r="AB26" i="5"/>
  <c r="AR26" i="5"/>
  <c r="AQ26" i="5"/>
  <c r="AA26" i="5"/>
  <c r="AK26" i="5"/>
  <c r="AS26" i="5"/>
  <c r="AH26" i="5"/>
  <c r="AF26" i="5"/>
  <c r="AN26" i="5"/>
  <c r="AE26" i="5"/>
  <c r="AM26" i="5"/>
  <c r="AD26" i="5"/>
  <c r="AO26" i="5"/>
  <c r="Z9" i="5"/>
  <c r="Z26" i="5" s="1"/>
  <c r="AJ26" i="5"/>
  <c r="AL26" i="5"/>
  <c r="AI26" i="5"/>
  <c r="AP26" i="5"/>
  <c r="AG26" i="5"/>
  <c r="AC26" i="5"/>
  <c r="W112" i="35"/>
  <c r="BO45" i="35"/>
  <c r="Z26" i="3" a="1"/>
  <c r="Z26" i="3" s="1"/>
  <c r="Y26" i="3" s="1"/>
  <c r="W118" i="35" l="1"/>
  <c r="BO118" i="35" s="1"/>
  <c r="BO51" i="35"/>
  <c r="AV8" i="3" s="1" a="1"/>
  <c r="M25" i="3"/>
  <c r="V25" i="3"/>
  <c r="T25" i="3"/>
  <c r="R25" i="3"/>
  <c r="F25" i="3"/>
  <c r="S25" i="3"/>
  <c r="U25" i="3"/>
  <c r="I25" i="3"/>
  <c r="K25" i="3"/>
  <c r="D8" i="3"/>
  <c r="D25" i="3" s="1"/>
  <c r="Q25" i="3"/>
  <c r="P25" i="3"/>
  <c r="O25" i="3"/>
  <c r="E25" i="3"/>
  <c r="N25" i="3"/>
  <c r="H25" i="3"/>
  <c r="L25" i="3"/>
  <c r="W25" i="3"/>
  <c r="G25" i="3"/>
  <c r="J25" i="3"/>
  <c r="Z27" i="5" a="1"/>
  <c r="Z27" i="5" s="1"/>
  <c r="Y27" i="5" s="1"/>
  <c r="BO112" i="35"/>
  <c r="AV9" i="5" s="1" a="1"/>
  <c r="W95" i="35"/>
  <c r="BI26" i="5" l="1"/>
  <c r="BN26" i="5"/>
  <c r="BB26" i="5"/>
  <c r="BL26" i="5"/>
  <c r="BK26" i="5"/>
  <c r="BC26" i="5"/>
  <c r="BE26" i="5"/>
  <c r="AW26" i="5"/>
  <c r="AY26" i="5"/>
  <c r="BD26" i="5"/>
  <c r="AX26" i="5"/>
  <c r="BF26" i="5"/>
  <c r="AZ26" i="5"/>
  <c r="BG26" i="5"/>
  <c r="BO26" i="5"/>
  <c r="BJ26" i="5"/>
  <c r="BA26" i="5"/>
  <c r="AV9" i="5"/>
  <c r="AV26" i="5" s="1"/>
  <c r="BM26" i="5"/>
  <c r="BH26" i="5"/>
  <c r="C9" i="91" a="1"/>
  <c r="C9" i="91" s="1"/>
  <c r="D26" i="3" a="1"/>
  <c r="D26" i="3" s="1"/>
  <c r="C26" i="3" s="1"/>
  <c r="BB25" i="3"/>
  <c r="BI25" i="3"/>
  <c r="BL25" i="3"/>
  <c r="BA25" i="3"/>
  <c r="BJ25" i="3"/>
  <c r="BH25" i="3"/>
  <c r="BK25" i="3"/>
  <c r="AY25" i="3"/>
  <c r="AV8" i="3"/>
  <c r="AV25" i="3" s="1"/>
  <c r="AZ25" i="3"/>
  <c r="AX25" i="3"/>
  <c r="BO25" i="3"/>
  <c r="BN25" i="3"/>
  <c r="BM25" i="3"/>
  <c r="BD25" i="3"/>
  <c r="BG25" i="3"/>
  <c r="AW25" i="3"/>
  <c r="BC25" i="3"/>
  <c r="BF25" i="3"/>
  <c r="BE25" i="3"/>
  <c r="D9" i="5" a="1"/>
  <c r="C11" i="91" l="1"/>
  <c r="C12" i="91" s="1"/>
  <c r="D8" i="91" s="1"/>
  <c r="D10" i="91" s="1"/>
  <c r="D11" i="91" s="1"/>
  <c r="D12" i="91" s="1"/>
  <c r="E8" i="91" s="1"/>
  <c r="E10" i="91" s="1"/>
  <c r="E11" i="91" s="1"/>
  <c r="E12" i="91" s="1"/>
  <c r="F8" i="91" s="1"/>
  <c r="F10" i="91" s="1"/>
  <c r="F11" i="91" s="1"/>
  <c r="F12" i="91" s="1"/>
  <c r="G8" i="91" s="1"/>
  <c r="G10" i="91" s="1"/>
  <c r="G11" i="91" s="1"/>
  <c r="G12" i="91" s="1"/>
  <c r="H8" i="91" s="1"/>
  <c r="H10" i="91" s="1"/>
  <c r="H11" i="91" s="1"/>
  <c r="H12" i="91" s="1"/>
  <c r="I8" i="91" s="1"/>
  <c r="I10" i="91" s="1"/>
  <c r="I11" i="91" s="1"/>
  <c r="I12" i="91" s="1"/>
  <c r="J8" i="91" s="1"/>
  <c r="J10" i="91" s="1"/>
  <c r="J11" i="91" s="1"/>
  <c r="J12" i="91" s="1"/>
  <c r="K8" i="91" s="1"/>
  <c r="K10" i="91" s="1"/>
  <c r="K11" i="91" s="1"/>
  <c r="K12" i="91" s="1"/>
  <c r="L8" i="91" s="1"/>
  <c r="L10" i="91" s="1"/>
  <c r="L11" i="91" s="1"/>
  <c r="L12" i="91" s="1"/>
  <c r="M8" i="91" s="1"/>
  <c r="M10" i="91" s="1"/>
  <c r="M11" i="91" s="1"/>
  <c r="M12" i="91" s="1"/>
  <c r="N8" i="91" s="1"/>
  <c r="N10" i="91" s="1"/>
  <c r="N11" i="91" s="1"/>
  <c r="N12" i="91" s="1"/>
  <c r="O8" i="91" s="1"/>
  <c r="O10" i="91" s="1"/>
  <c r="O11" i="91" s="1"/>
  <c r="O12" i="91" s="1"/>
  <c r="P8" i="91" s="1"/>
  <c r="P10" i="91" s="1"/>
  <c r="P11" i="91" s="1"/>
  <c r="P12" i="91" s="1"/>
  <c r="Q8" i="91" s="1"/>
  <c r="Q10" i="91" s="1"/>
  <c r="Q11" i="91" s="1"/>
  <c r="Q12" i="91" s="1"/>
  <c r="R8" i="91" s="1"/>
  <c r="R10" i="91" s="1"/>
  <c r="R11" i="91" s="1"/>
  <c r="R12" i="91" s="1"/>
  <c r="S8" i="91" s="1"/>
  <c r="S10" i="91" s="1"/>
  <c r="S11" i="91" s="1"/>
  <c r="S12" i="91" s="1"/>
  <c r="T8" i="91" s="1"/>
  <c r="T10" i="91" s="1"/>
  <c r="T11" i="91" s="1"/>
  <c r="T12" i="91" s="1"/>
  <c r="U8" i="91" s="1"/>
  <c r="U10" i="91" s="1"/>
  <c r="U11" i="91" s="1"/>
  <c r="U12" i="91" s="1"/>
  <c r="V8" i="91" s="1"/>
  <c r="V10" i="91" s="1"/>
  <c r="C10" i="91"/>
  <c r="AV26" i="3" a="1"/>
  <c r="AV26" i="3" s="1"/>
  <c r="AU26" i="3" s="1"/>
  <c r="D6" i="95" s="1"/>
  <c r="V26" i="5"/>
  <c r="S26" i="5"/>
  <c r="U26" i="5"/>
  <c r="G26" i="5"/>
  <c r="R26" i="5"/>
  <c r="K26" i="5"/>
  <c r="E26" i="5"/>
  <c r="T26" i="5"/>
  <c r="I26" i="5"/>
  <c r="Q26" i="5"/>
  <c r="J26" i="5"/>
  <c r="H26" i="5"/>
  <c r="W26" i="5"/>
  <c r="D9" i="5"/>
  <c r="D26" i="5" s="1"/>
  <c r="F26" i="5"/>
  <c r="P26" i="5"/>
  <c r="M26" i="5"/>
  <c r="L26" i="5"/>
  <c r="N26" i="5"/>
  <c r="O26" i="5"/>
  <c r="AV27" i="5" a="1"/>
  <c r="AV27" i="5" s="1"/>
  <c r="AU27" i="5" s="1"/>
  <c r="D18" i="95" s="1"/>
  <c r="D19" i="95" s="1"/>
  <c r="E19" i="95" s="1" a="1"/>
  <c r="D40" i="95" l="1"/>
  <c r="V20" i="95"/>
  <c r="F20" i="95"/>
  <c r="W20" i="95"/>
  <c r="I20" i="95"/>
  <c r="L20" i="95"/>
  <c r="E19" i="95"/>
  <c r="G20" i="95"/>
  <c r="H20" i="95"/>
  <c r="R20" i="95"/>
  <c r="X20" i="95"/>
  <c r="M20" i="95"/>
  <c r="K20" i="95"/>
  <c r="O20" i="95"/>
  <c r="Q20" i="95"/>
  <c r="P20" i="95"/>
  <c r="J20" i="95"/>
  <c r="N20" i="95"/>
  <c r="U20" i="95"/>
  <c r="S20" i="95"/>
  <c r="T20" i="95"/>
  <c r="D7" i="95"/>
  <c r="E7" i="95" s="1" a="1"/>
  <c r="B15" i="92" a="1"/>
  <c r="D27" i="5" a="1"/>
  <c r="D27" i="5" s="1"/>
  <c r="C27" i="5" s="1"/>
  <c r="V11" i="91"/>
  <c r="B16" i="92" s="1" a="1"/>
  <c r="B16" i="92" s="1"/>
  <c r="V12" i="91" l="1"/>
  <c r="B15" i="92"/>
  <c r="B17" i="92" s="1"/>
  <c r="G17" i="92"/>
  <c r="P17" i="92"/>
  <c r="N17" i="92"/>
  <c r="F17" i="92"/>
  <c r="H17" i="92"/>
  <c r="O17" i="92"/>
  <c r="R17" i="92"/>
  <c r="Q17" i="92"/>
  <c r="S17" i="92"/>
  <c r="K17" i="92"/>
  <c r="E17" i="92"/>
  <c r="J17" i="92"/>
  <c r="U17" i="92"/>
  <c r="T17" i="92"/>
  <c r="C17" i="92"/>
  <c r="D17" i="92"/>
  <c r="I17" i="92"/>
  <c r="L17" i="92"/>
  <c r="M17" i="92"/>
  <c r="E20" i="95"/>
  <c r="Q8" i="95"/>
  <c r="O8" i="95"/>
  <c r="I8" i="95"/>
  <c r="G8" i="95"/>
  <c r="R8" i="95"/>
  <c r="H8" i="95"/>
  <c r="N8" i="95"/>
  <c r="M8" i="95"/>
  <c r="F8" i="95"/>
  <c r="S8" i="95"/>
  <c r="L8" i="95"/>
  <c r="X8" i="95"/>
  <c r="J8" i="95"/>
  <c r="K8" i="95"/>
  <c r="P8" i="95"/>
  <c r="W8" i="95"/>
  <c r="E7" i="95"/>
  <c r="V8" i="95"/>
  <c r="T8" i="95"/>
  <c r="U8" i="95"/>
  <c r="E8" i="95" l="1"/>
  <c r="E9" i="95" s="1" a="1"/>
  <c r="E9" i="95" s="1"/>
  <c r="D9" i="95" s="1"/>
  <c r="E29" i="95" a="1"/>
  <c r="E29" i="95" s="1"/>
  <c r="E21" i="95" a="1"/>
  <c r="E21" i="95" s="1"/>
  <c r="D21" i="95" s="1"/>
  <c r="D22" i="95" s="1"/>
  <c r="E32" i="95" l="1" a="1"/>
  <c r="E32" i="95" s="1"/>
  <c r="B6" i="92" a="1"/>
  <c r="B6" i="92" s="1"/>
  <c r="B7" i="92" s="1" a="1"/>
  <c r="B7" i="92" s="1"/>
  <c r="B8" i="92" s="1"/>
  <c r="E31" i="95" a="1"/>
  <c r="B30" i="1" a="1"/>
  <c r="B30" i="1" s="1"/>
  <c r="D10" i="95"/>
  <c r="D32" i="95"/>
  <c r="N33" i="95" l="1"/>
  <c r="R33" i="95"/>
  <c r="F33" i="95"/>
  <c r="E31" i="95"/>
  <c r="E39" i="95" s="1" a="1"/>
  <c r="E39" i="95" s="1"/>
  <c r="D39" i="95" s="1"/>
  <c r="D41" i="95" s="1"/>
  <c r="M34" i="95"/>
  <c r="U33" i="95"/>
  <c r="L33" i="95"/>
  <c r="J33" i="95"/>
  <c r="P33" i="95"/>
  <c r="H33" i="95"/>
  <c r="K33" i="95"/>
  <c r="S33" i="95"/>
  <c r="X33" i="95"/>
  <c r="O33" i="95"/>
  <c r="Q33" i="95"/>
  <c r="G33" i="95"/>
  <c r="W33" i="95"/>
  <c r="M33" i="95"/>
  <c r="V33" i="95"/>
  <c r="I33" i="95"/>
  <c r="T33" i="95"/>
  <c r="E33" i="9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<sst xmlns="http://schemas.openxmlformats.org/spreadsheetml/2006/main" count="575" uniqueCount="448">
  <si>
    <t>Date</t>
  </si>
  <si>
    <t>Version</t>
  </si>
  <si>
    <t>Confidentiality</t>
  </si>
  <si>
    <t>This cost model is a template with no confidential information</t>
  </si>
  <si>
    <t>Introduction:</t>
  </si>
  <si>
    <t>This network cost model was prepared by Acacia Economics for ICASA fixed termination rates</t>
  </si>
  <si>
    <t>Key</t>
  </si>
  <si>
    <t>Red fill means an assumption was used, typically from a licensee, and this figure can be changed</t>
  </si>
  <si>
    <t>Red text</t>
  </si>
  <si>
    <t>Means cell or array name</t>
  </si>
  <si>
    <t>Black text</t>
  </si>
  <si>
    <t>Explains an assumption or a source or otherwise provides an explanation.</t>
  </si>
  <si>
    <t>Growth scenario</t>
  </si>
  <si>
    <t>Medium growth scenario</t>
  </si>
  <si>
    <t>Market share of generic operator</t>
  </si>
  <si>
    <t>share_operator</t>
  </si>
  <si>
    <t>Costs</t>
  </si>
  <si>
    <t>Plan of cost model</t>
  </si>
  <si>
    <t>Step 1 - Volumes</t>
  </si>
  <si>
    <t>In this tab, we use dimensioning parameters  to convert usage volumes of fixed voice to common factors in the busy hour, in order to dimension our network.</t>
  </si>
  <si>
    <t>Parameter</t>
  </si>
  <si>
    <t>Unit</t>
  </si>
  <si>
    <t>Notes</t>
  </si>
  <si>
    <t>Input</t>
  </si>
  <si>
    <t>Cell reference</t>
  </si>
  <si>
    <t>General parameters</t>
  </si>
  <si>
    <t>Sources</t>
  </si>
  <si>
    <t>Seconds in one minute</t>
  </si>
  <si>
    <t>seconds/minute</t>
  </si>
  <si>
    <t>sec_minute</t>
  </si>
  <si>
    <t>Own calc</t>
  </si>
  <si>
    <t>Minutes in an hour</t>
  </si>
  <si>
    <t>mins/hour</t>
  </si>
  <si>
    <t>This is used, for example, for converting minutes to Erlangs (divide by 60)</t>
  </si>
  <si>
    <t>mins_hour</t>
  </si>
  <si>
    <t>Days in a year</t>
  </si>
  <si>
    <t>days/year</t>
  </si>
  <si>
    <t>Weeks in a year</t>
  </si>
  <si>
    <t>weeks/year</t>
  </si>
  <si>
    <t>Working days in a week</t>
  </si>
  <si>
    <t>days/week</t>
  </si>
  <si>
    <t>Days in a week</t>
  </si>
  <si>
    <t>On-net voice call and SMS provisioning / demand factor</t>
  </si>
  <si>
    <t>factor</t>
  </si>
  <si>
    <t>onnet_factor</t>
  </si>
  <si>
    <t>Call assumptions</t>
  </si>
  <si>
    <t>Source:</t>
  </si>
  <si>
    <t>Unsuccessful calls</t>
  </si>
  <si>
    <t>percentage</t>
  </si>
  <si>
    <t>unsuccessful_calls_perc</t>
  </si>
  <si>
    <t>Minutes per call</t>
  </si>
  <si>
    <t>mins_call</t>
  </si>
  <si>
    <t>Idle time (due to unanswered calls, voice messages, etc)</t>
  </si>
  <si>
    <t>idle_time</t>
  </si>
  <si>
    <t>EU fixed call termination rate model, 2018</t>
  </si>
  <si>
    <t>Note: these assumptions can be differentiated by service if needs be and the data are available</t>
  </si>
  <si>
    <t>Busy hour assumptions</t>
  </si>
  <si>
    <t>% of calls made during working days</t>
  </si>
  <si>
    <t>Working days in the year</t>
  </si>
  <si>
    <t>% of calls made in a working day during the busy hour</t>
  </si>
  <si>
    <t>% of annual traffic in the busy hour</t>
  </si>
  <si>
    <t>busy_hour_perc</t>
  </si>
  <si>
    <t>Network element demand assumptions</t>
  </si>
  <si>
    <t>Demand parameter</t>
  </si>
  <si>
    <t>Calls per second</t>
  </si>
  <si>
    <t>as_hardware</t>
  </si>
  <si>
    <t>as_software</t>
  </si>
  <si>
    <t>Call data records per hour (calls per hour)</t>
  </si>
  <si>
    <t>cdf_hardware</t>
  </si>
  <si>
    <t>cdf_software</t>
  </si>
  <si>
    <t>Busy hour call attempts</t>
  </si>
  <si>
    <t>proxy_cscf_hardware</t>
  </si>
  <si>
    <t>proxy_cscf_software</t>
  </si>
  <si>
    <t>interr_cscf_hardware</t>
  </si>
  <si>
    <t>interr_cscf_software</t>
  </si>
  <si>
    <t>serve_cscf_hardware</t>
  </si>
  <si>
    <t>serve_cscf_software</t>
  </si>
  <si>
    <t>mrf_hardware</t>
  </si>
  <si>
    <t>mrf_software</t>
  </si>
  <si>
    <t>access_sbc_hardware</t>
  </si>
  <si>
    <t>access_sbc_software</t>
  </si>
  <si>
    <t>ix_sbc_hardware</t>
  </si>
  <si>
    <t>ix_sbc_software</t>
  </si>
  <si>
    <t>Note: equipment vendors may bill stakeholders based on different network dimensioning elements</t>
  </si>
  <si>
    <t>Note: It may me useful to distinguish between concurrent voice channels and concurrent sessions for the MRF</t>
  </si>
  <si>
    <t>Traffic demand-total volumes</t>
  </si>
  <si>
    <t>These data are pulled from 1 volumes based on the scenario in the summary tab</t>
  </si>
  <si>
    <t>B Traffic excluding incoming voice</t>
  </si>
  <si>
    <t>fixed_services</t>
  </si>
  <si>
    <t>fixed_minutes</t>
  </si>
  <si>
    <t>Traffic (minutes) in the busy hour</t>
  </si>
  <si>
    <t>Here, traffic in the busy hour is calculated using the proportion of traffic in the busy hour assumption, and we also take into account call idle time (excluding on-net factor)</t>
  </si>
  <si>
    <t>fixed_minutes_busy_hour</t>
  </si>
  <si>
    <t>We now add an on-net factor for the call per second calculations below</t>
  </si>
  <si>
    <t>fixed_minutes_busy_hour_onnet_factor</t>
  </si>
  <si>
    <t>Calls per hour in the busy hour</t>
  </si>
  <si>
    <t>Now, we calculate calls per hour for calls transiting the core (no on-net factor, for IX demand)</t>
  </si>
  <si>
    <t>A Baseline</t>
  </si>
  <si>
    <t>fixed_calls_service</t>
  </si>
  <si>
    <t>Total</t>
  </si>
  <si>
    <t>fixed_calls_per_hour</t>
  </si>
  <si>
    <t>fixed_calls_per_hour_noincoming</t>
  </si>
  <si>
    <t>fixed_calls_service_onnet_factor</t>
  </si>
  <si>
    <t>fixed_calls_per_hour_onnet_factor</t>
  </si>
  <si>
    <t>fixed_calls_per_hour_onnet_factor_noincoming</t>
  </si>
  <si>
    <t>Busy hour call attempts - for CDF demand</t>
  </si>
  <si>
    <t>We also need to add in calls attempted but not completed - no onnet_factor for CDf</t>
  </si>
  <si>
    <t>busy_hour_call_attempts</t>
  </si>
  <si>
    <t>busy_hour_call_attempts_noincoming</t>
  </si>
  <si>
    <t>We calculate calls per second by dividing busy hour minutes by 60 seconds (excluding on-net factor for IX SBCs)</t>
  </si>
  <si>
    <t>Total - through core - excluding on-net factor</t>
  </si>
  <si>
    <t>fixed_calls_persecond</t>
  </si>
  <si>
    <t>fixed_calls_persecond_noincoming</t>
  </si>
  <si>
    <t>We calculate calls per second by dividing busy hour minutes by 60 seconds (including on-net factor for access SBCs and AS)</t>
  </si>
  <si>
    <t>Total - through core - including on-net factor</t>
  </si>
  <si>
    <t>fixed_calls_persecond_onnet_factor</t>
  </si>
  <si>
    <t>fixed_calls_persecond_onnet_factor_noincoming</t>
  </si>
  <si>
    <t>Inbound minutes for LRIC calculation</t>
  </si>
  <si>
    <t>Incoming minutes</t>
  </si>
  <si>
    <t>Minutes</t>
  </si>
  <si>
    <t>fixed_minutes_incoming</t>
  </si>
  <si>
    <t>Step 4b - Network element demand - core network</t>
  </si>
  <si>
    <t>This tab contains the number of network elements to be used as inputs in the capital and operating cost calculations of the model</t>
  </si>
  <si>
    <t>Maximum load of core network</t>
  </si>
  <si>
    <t>max_load</t>
  </si>
  <si>
    <t>Redundancy factor</t>
  </si>
  <si>
    <t>redundancy</t>
  </si>
  <si>
    <t>B No incoming voice</t>
  </si>
  <si>
    <t>First, we consider the total number of core network elements required, including the maximum load and redundancy factors</t>
  </si>
  <si>
    <t>We also apply the on-net factor to the access SBCs</t>
  </si>
  <si>
    <t>Network element</t>
  </si>
  <si>
    <t>Derivation</t>
  </si>
  <si>
    <t>Application server hardware</t>
  </si>
  <si>
    <t>On-net factor</t>
  </si>
  <si>
    <t>Application server software</t>
  </si>
  <si>
    <t>Charging data function hardware</t>
  </si>
  <si>
    <t>No on-net factor</t>
  </si>
  <si>
    <t>Charging data function software</t>
  </si>
  <si>
    <t>Proxy - Call session control function hardware</t>
  </si>
  <si>
    <t>Proxy - Call session control function software</t>
  </si>
  <si>
    <t>Interrogating - Call session control function hardware</t>
  </si>
  <si>
    <t>Interrogating - Call session control function software</t>
  </si>
  <si>
    <t>Serving - Call session control function hardware</t>
  </si>
  <si>
    <t>Serving - Call session control function software</t>
  </si>
  <si>
    <t>Media resource function - hardware</t>
  </si>
  <si>
    <t>Media resource function - software</t>
  </si>
  <si>
    <t>Access session border controller - hardware</t>
  </si>
  <si>
    <t>Access session border controller - software</t>
  </si>
  <si>
    <t>Internet exchange point session border controller - hardware</t>
  </si>
  <si>
    <t>Internet exchange point session border controller - software</t>
  </si>
  <si>
    <t>core_elements</t>
  </si>
  <si>
    <t>Note: different fixed line networks may use different layers of the IP Multimedia Subsystem.</t>
  </si>
  <si>
    <t>Depreciation period</t>
  </si>
  <si>
    <t xml:space="preserve">Step 4 - Capital costs </t>
  </si>
  <si>
    <t>Financial inputs</t>
  </si>
  <si>
    <t>Percentage of capital that is debt</t>
  </si>
  <si>
    <t>debt_perc</t>
  </si>
  <si>
    <t>Exchange rate (USD/ZAR)</t>
  </si>
  <si>
    <t>Exchange rate (GBP/ZAR)</t>
  </si>
  <si>
    <t>Exchange rate (EUR/ZAR)</t>
  </si>
  <si>
    <t>Inflation</t>
  </si>
  <si>
    <t>inflation</t>
  </si>
  <si>
    <t>Real WACC - pre-tax</t>
  </si>
  <si>
    <t>Nominal WACC - pre-tax</t>
  </si>
  <si>
    <t xml:space="preserve">WACC index </t>
  </si>
  <si>
    <t>wacc_index</t>
  </si>
  <si>
    <t xml:space="preserve">Core network </t>
  </si>
  <si>
    <t>Discounted</t>
  </si>
  <si>
    <t>unit_costs_core</t>
  </si>
  <si>
    <t>Total costs</t>
  </si>
  <si>
    <t>core_costs_noincoming</t>
  </si>
  <si>
    <t>Step 5 - Operating and maintence costs</t>
  </si>
  <si>
    <t>Core</t>
  </si>
  <si>
    <t>Core network opex</t>
  </si>
  <si>
    <t xml:space="preserve">This is a header tab, and has been left blank intentionally. </t>
  </si>
  <si>
    <t>Volume projections based on ITU data</t>
  </si>
  <si>
    <t>Annual volume growth</t>
  </si>
  <si>
    <t>% of fixed traffic that is on-net</t>
  </si>
  <si>
    <t>On-net fixed to fixed traffic</t>
  </si>
  <si>
    <t>Off-net fixed to fixed traffic</t>
  </si>
  <si>
    <t>State of the ICT Sector Data</t>
  </si>
  <si>
    <t xml:space="preserve">Source: 2021 State of the ICT Sector Report </t>
  </si>
  <si>
    <r>
      <rPr>
        <b/>
        <sz val="11"/>
        <rFont val="Calibri"/>
        <family val="2"/>
        <scheme val="minor"/>
      </rPr>
      <t>Note:</t>
    </r>
    <r>
      <rPr>
        <sz val="11"/>
        <rFont val="Calibri"/>
        <family val="2"/>
        <scheme val="minor"/>
      </rPr>
      <t xml:space="preserve"> All Graphs with annual figures are for the 12 months ending 30 September each year </t>
    </r>
  </si>
  <si>
    <t>Graph 7: Telecommunications Revenue</t>
  </si>
  <si>
    <t xml:space="preserve">page 18 </t>
  </si>
  <si>
    <t xml:space="preserve">Total telecommunication revenue </t>
  </si>
  <si>
    <t xml:space="preserve">Total mobile services revenue (Rm) </t>
  </si>
  <si>
    <t>Total of any other revenue</t>
  </si>
  <si>
    <t xml:space="preserve">Total fixed internet and data revenue </t>
  </si>
  <si>
    <t xml:space="preserve">Total fixed line revenue </t>
  </si>
  <si>
    <t>Graph 8: Mobile services revenue</t>
  </si>
  <si>
    <t xml:space="preserve">page 19 </t>
  </si>
  <si>
    <t xml:space="preserve">Revenue from mobile data services </t>
  </si>
  <si>
    <t>Revenue from voice services</t>
  </si>
  <si>
    <t xml:space="preserve">Other mobile services revenue </t>
  </si>
  <si>
    <t xml:space="preserve">Revenue from text and MMS </t>
  </si>
  <si>
    <t>Revenue from outbound roaming (R)</t>
  </si>
  <si>
    <t>Graph 9: Fixed internet and data revenue</t>
  </si>
  <si>
    <t xml:space="preserve">page 20 </t>
  </si>
  <si>
    <t xml:space="preserve">Revenue from fixed (wired) broadband services </t>
  </si>
  <si>
    <t>Fixed Internet Revenue ®</t>
  </si>
  <si>
    <t xml:space="preserve">Other telecommunication services revenue, including leased lines revenue and fixed value-added telecommunication services </t>
  </si>
  <si>
    <t xml:space="preserve">Other wireless-broadband services revenue </t>
  </si>
  <si>
    <t xml:space="preserve">Graph 10: Total Fixed Line Revenue </t>
  </si>
  <si>
    <t>page 21</t>
  </si>
  <si>
    <t>Total fixed line revenue</t>
  </si>
  <si>
    <t>Revenue from fixed-telephone subscription changes</t>
  </si>
  <si>
    <t xml:space="preserve">Revenue from fixed-telephone calls </t>
  </si>
  <si>
    <t xml:space="preserve">Revenue from retail fixed-telephone services </t>
  </si>
  <si>
    <t xml:space="preserve">Graph 11: Prepaid mobile voice, data and messaging revenue </t>
  </si>
  <si>
    <t>page 22</t>
  </si>
  <si>
    <t xml:space="preserve">Prepaid revenue mobile voice </t>
  </si>
  <si>
    <t>Prepaid revenue mobile data</t>
  </si>
  <si>
    <t xml:space="preserve">Prepaid revenue mobile messaging </t>
  </si>
  <si>
    <t xml:space="preserve">Graph 15: National Population coverage for 3G, 4G/LTE and 5G </t>
  </si>
  <si>
    <t>3G Population Coverage</t>
  </si>
  <si>
    <t>4G/LTE Population Coverage</t>
  </si>
  <si>
    <t>5G Coverage</t>
  </si>
  <si>
    <t xml:space="preserve">Graph 18: Mobile Cellular and Smartphone Subscriptions </t>
  </si>
  <si>
    <t>page 32</t>
  </si>
  <si>
    <t xml:space="preserve">Mobile cellular subscriptions </t>
  </si>
  <si>
    <t>Smartphone subscriptions</t>
  </si>
  <si>
    <t>Graph 23: Prepaid and post-paid mobile cellular voice subscriptions</t>
  </si>
  <si>
    <t>page 37</t>
  </si>
  <si>
    <t>Total mobile cellular subscriptions</t>
  </si>
  <si>
    <t xml:space="preserve">Prepaid mobile-cellular telephone subscriptions </t>
  </si>
  <si>
    <t xml:space="preserve">Postpaid mobile-cellular telephone subscriptions </t>
  </si>
  <si>
    <t xml:space="preserve">Graph 24: Mobile cellular active subscriptions (Active for more than 90 days) </t>
  </si>
  <si>
    <t xml:space="preserve">page 38 </t>
  </si>
  <si>
    <t xml:space="preserve">Mobile cellular active subscriptions </t>
  </si>
  <si>
    <t xml:space="preserve">Graph 27: Fixed broadband subscriptions </t>
  </si>
  <si>
    <t>page 41</t>
  </si>
  <si>
    <t xml:space="preserve">Fixed broadband subscriptions </t>
  </si>
  <si>
    <t xml:space="preserve">Fibre-to-the-home/building Internet subscriptions </t>
  </si>
  <si>
    <t>DSL internet subscriptions</t>
  </si>
  <si>
    <t xml:space="preserve">Other fixed (wired) - broadband subscriptions </t>
  </si>
  <si>
    <t>Graph 30: Fixed line traffic, in minutes, for the 12 month period ending 30 September each year</t>
  </si>
  <si>
    <t>page 44</t>
  </si>
  <si>
    <t xml:space="preserve">Total fixed line traffic </t>
  </si>
  <si>
    <t>Local fixed-to-fixed telephone traffic, in minutes</t>
  </si>
  <si>
    <t>Long-distance fixed-to-fixed telephone traffic, in minutes</t>
  </si>
  <si>
    <t xml:space="preserve">Graph 31: Fixed-to-mobile telephone traffic minutes </t>
  </si>
  <si>
    <t xml:space="preserve">page 45 </t>
  </si>
  <si>
    <t xml:space="preserve">ITU Data on Traffic Volumes </t>
  </si>
  <si>
    <t xml:space="preserve">Source: ITU Datahub </t>
  </si>
  <si>
    <t xml:space="preserve">https://datahub.itu.int/data/?id=2&amp;e=ZAF&amp;i=54 </t>
  </si>
  <si>
    <t xml:space="preserve">Domestic Fixed to fixed telephone traffic </t>
  </si>
  <si>
    <t>Fixed to Mobile Telephone traffic</t>
  </si>
  <si>
    <t xml:space="preserve">International incoming fixed telephone traffic </t>
  </si>
  <si>
    <t>International outgoing fixed telephone traffic</t>
  </si>
  <si>
    <t xml:space="preserve">International incoming and outgoing fixed-telephone traffic </t>
  </si>
  <si>
    <t>Outgoing mobile traffic to fixed networks</t>
  </si>
  <si>
    <t>Note: 2018 fixed to fixed traffic of 15099900000 appears to be an outlier and so the average of 2019 and 2017 were used.</t>
  </si>
  <si>
    <t>Note: 2018 traffic appear to be low and may not reflect all the changes in new fibre operators, so increased volumes by:</t>
  </si>
  <si>
    <t>Note: 2020 traffic appear to be low and may not reflect all the changes in new fibre operators, so increased volumes by:</t>
  </si>
  <si>
    <t>Note: 2021 traffic appear to be low and may not reflect all the changes in new fibre operators, so increased volumes by:</t>
  </si>
  <si>
    <t>Core network element costs</t>
  </si>
  <si>
    <t>Capex price trend</t>
  </si>
  <si>
    <t>Opex price trend</t>
  </si>
  <si>
    <t>Opex price index</t>
  </si>
  <si>
    <t>Opex as a % of capex</t>
  </si>
  <si>
    <t>Core network elements - unit capital expenditure costs</t>
  </si>
  <si>
    <t>unit_costs_core_capex</t>
  </si>
  <si>
    <t>Core network elements - unit operating costs</t>
  </si>
  <si>
    <t>unit_costs_core_opex</t>
  </si>
  <si>
    <t>Macroeconomic data</t>
  </si>
  <si>
    <t>Country</t>
  </si>
  <si>
    <t>Subject Descriptor</t>
  </si>
  <si>
    <t>South Africa</t>
  </si>
  <si>
    <t>Headline CPI (YoY rates)</t>
  </si>
  <si>
    <t>Source</t>
  </si>
  <si>
    <t>StatsSA (2013-2022)</t>
  </si>
  <si>
    <t>https://www.statssa.gov.za/publications/P0141/CPIHistory.pdf?</t>
  </si>
  <si>
    <t>SARB (2023-2025)</t>
  </si>
  <si>
    <t xml:space="preserve">2026-2048: Assumed the SARB's steady state of 4.5% </t>
  </si>
  <si>
    <t>Assume SARB's annual forecasts are average rates.</t>
  </si>
  <si>
    <t>Risk free rate</t>
  </si>
  <si>
    <t>Tenure</t>
  </si>
  <si>
    <t>91 days</t>
  </si>
  <si>
    <t>Treasury bill</t>
  </si>
  <si>
    <t>364-day</t>
  </si>
  <si>
    <t>3-5 years (average bond yields)</t>
  </si>
  <si>
    <t>Bonds</t>
  </si>
  <si>
    <t>5-10 years (average bond yields)</t>
  </si>
  <si>
    <t>10 years and longer (average bond yields)</t>
  </si>
  <si>
    <t>SARB: Treasury and bond yields</t>
  </si>
  <si>
    <t>https://www.resbank.co.za/en/home/what-we-do/statistics/key-statistics/current-market-rates</t>
  </si>
  <si>
    <t>Treasury yields as at 20/02/2023</t>
  </si>
  <si>
    <t>Bond yields as at 21/02/2023</t>
  </si>
  <si>
    <t>Average annual exchange rate</t>
  </si>
  <si>
    <t>USD/ZAR</t>
  </si>
  <si>
    <t>GBP/ZAR</t>
  </si>
  <si>
    <t>EUR/ZAR</t>
  </si>
  <si>
    <t>Compound Annual Growth Rate (USD/ZAR)</t>
  </si>
  <si>
    <t>2026-2030</t>
  </si>
  <si>
    <t>2031-2035</t>
  </si>
  <si>
    <t>Compound Annual Growth Rate (GBP/ZAR)</t>
  </si>
  <si>
    <t>Compound Annual Growth Rate (EUR/ZAR)</t>
  </si>
  <si>
    <t>We assume the exchange rates for 2036-2048 will take on a steady state value equal to the exchange rate as at 2035.</t>
  </si>
  <si>
    <t>Annualising Investec's average exchange rate figures</t>
  </si>
  <si>
    <t>Q1</t>
  </si>
  <si>
    <t>Q2</t>
  </si>
  <si>
    <t>Q3</t>
  </si>
  <si>
    <t>Q4</t>
  </si>
  <si>
    <t>USD/ZAR (Investec)</t>
  </si>
  <si>
    <t>Annual rate</t>
  </si>
  <si>
    <t>GBP/ZAR (Investec)</t>
  </si>
  <si>
    <t>EUR/ZAR (Investec)</t>
  </si>
  <si>
    <t>2013-2022 average annual exchange rates were derived from the SARB's daily exchange rate data</t>
  </si>
  <si>
    <t>https://www,resbank,co,za/en/home/what-we-do/statistics/key-statistics/selected-historical-rates</t>
  </si>
  <si>
    <t>2023-2025 rates are from Investec.</t>
  </si>
  <si>
    <t>2026-2030: We assume the exchange rate grows at the same compounding annual growth rate over the 2018-2025 period (7 years).</t>
  </si>
  <si>
    <t>2031-2035: We assume the growth rate for this period to be half that of the 2026-2030 period.</t>
  </si>
  <si>
    <t>Lists</t>
  </si>
  <si>
    <t>growth_scenarios</t>
  </si>
  <si>
    <t>Low growth scenario</t>
  </si>
  <si>
    <t>High growth scenario</t>
  </si>
  <si>
    <t>years</t>
  </si>
  <si>
    <t>Operator Confidential Data</t>
  </si>
  <si>
    <t>[Placeholder for operator data]</t>
  </si>
  <si>
    <t>Currency scenario</t>
  </si>
  <si>
    <t>Low scenario</t>
  </si>
  <si>
    <t>Currency_scenario</t>
  </si>
  <si>
    <t>Base scenario</t>
  </si>
  <si>
    <t>High scenario</t>
  </si>
  <si>
    <t>Incoming fixed to fixed traffic</t>
  </si>
  <si>
    <t>Bottom-up long-run incremental cost model - fixed</t>
  </si>
  <si>
    <t>Pure LRIC termination cost</t>
  </si>
  <si>
    <t>Assets</t>
  </si>
  <si>
    <t>Revenues</t>
  </si>
  <si>
    <t>In this tab, the revenue outcomes from the tariffs and tariff profile are computed.</t>
  </si>
  <si>
    <t>Pure LRIC revenues</t>
  </si>
  <si>
    <t>PV of pure LRIC revenues</t>
  </si>
  <si>
    <t>PV of pure LRIC revenues - total</t>
  </si>
  <si>
    <t>lric_revenues</t>
  </si>
  <si>
    <t>Network operating expenditure and depreciation</t>
  </si>
  <si>
    <t>Depreciation</t>
  </si>
  <si>
    <t>Total network operating expenditure plus depreciation</t>
  </si>
  <si>
    <t>The historical and book value of the assets purchased in each year are shown here.</t>
  </si>
  <si>
    <t>Opening value</t>
  </si>
  <si>
    <t>Purchases</t>
  </si>
  <si>
    <t>Value during year</t>
  </si>
  <si>
    <t>Depreciation - straight line</t>
  </si>
  <si>
    <t>Closing value</t>
  </si>
  <si>
    <t>depreciation_straightline</t>
  </si>
  <si>
    <t>PV</t>
  </si>
  <si>
    <t>Asset beta</t>
  </si>
  <si>
    <t>Nominal WACC - post-tax</t>
  </si>
  <si>
    <t>Company tax rate</t>
  </si>
  <si>
    <t>Risk free rate in SA - 10 year government bond</t>
  </si>
  <si>
    <t>South Africa — Orbitax Corporate Tax Rates</t>
  </si>
  <si>
    <t xml:space="preserve">The tax rate dropped on 1 August 2022. </t>
  </si>
  <si>
    <r>
      <t xml:space="preserve">South Africa 10 Years Bond - Historical Data - </t>
    </r>
    <r>
      <rPr>
        <b/>
        <i/>
        <u/>
        <sz val="11"/>
        <color theme="10"/>
        <rFont val="Calibri"/>
        <family val="2"/>
        <scheme val="minor"/>
      </rPr>
      <t>http://www.worldgovernmentbonds.com/bond-historical-data/south-africa/10-years/</t>
    </r>
  </si>
  <si>
    <t xml:space="preserve">This is a header tab and has been left blank intentionally. </t>
  </si>
  <si>
    <t>https://www.resbank.co.za/content/dam/sarb/publications/statements/monetary-policy-statements/2023/september/Forecast%20September%202023.pdf</t>
  </si>
  <si>
    <t>https://www.investec.com/content/dam/south-africa/content-hub/annabel-bishop/rand-note/Rand-note-9-Oct-2023.pdf</t>
  </si>
  <si>
    <t>Debt premium</t>
  </si>
  <si>
    <t>Equity beta</t>
  </si>
  <si>
    <t>Equity rsk premium</t>
  </si>
  <si>
    <t>Cost of debt - nominal pre-tax</t>
  </si>
  <si>
    <t>Cost of equity - nominal post-tax</t>
  </si>
  <si>
    <t>Operator data</t>
  </si>
  <si>
    <t>Asset table B: Incremental assets added at beginning of each year - capex</t>
  </si>
  <si>
    <t>Asset Table C: Assets fully depreciated during the year</t>
  </si>
  <si>
    <t>Asset Table D: Net assets after depreciation at end of year</t>
  </si>
  <si>
    <t>Asset Table E: Assets active during the year for opex</t>
  </si>
  <si>
    <t>Asset table A: Asset demand in each year</t>
  </si>
  <si>
    <t>This is calculated by subtracting assets available from the previous year (calculated below in Asset table C) from assets demanded calculated above in Asset Table A</t>
  </si>
  <si>
    <t>This is calculated by looking up asset purchased the number of years equal to the economic life of the asset prior to the present year.</t>
  </si>
  <si>
    <t>This is calculated by adding assets at the end of the previous year (this table) to assets procured at the beginning of the year (Table B) and subtracting depreciated assets (Table C):</t>
  </si>
  <si>
    <t>This is computed by adding net assets available after depreciation at end of prior year (Table D) to assets added at the beginning of the current year (Table B)</t>
  </si>
  <si>
    <t>core_number_opex</t>
  </si>
  <si>
    <t>core_number_noincoming_voice_opex</t>
  </si>
  <si>
    <t>core_increm_noincoming_capex</t>
  </si>
  <si>
    <t>core_increm_capex</t>
  </si>
  <si>
    <t>C Incoming only</t>
  </si>
  <si>
    <t>C incoming only</t>
  </si>
  <si>
    <t>core_number_incoming_only_opex</t>
  </si>
  <si>
    <t>B No incoming</t>
  </si>
  <si>
    <t>C Incoming Only</t>
  </si>
  <si>
    <t>core_increm_incoming_only_capex</t>
  </si>
  <si>
    <t>Capex price index</t>
  </si>
  <si>
    <t>capex_price_trend</t>
  </si>
  <si>
    <t>capex_price_index</t>
  </si>
  <si>
    <t>opex_price_index</t>
  </si>
  <si>
    <t>The rate on 31 December was used for 2018-2022 and the rate on 24 August was used for 2023. 
The 2023 rate was assumed to apply to the remaining years.</t>
  </si>
  <si>
    <t>wacc_nom_pretax</t>
  </si>
  <si>
    <t>wacc_real_pretax</t>
  </si>
  <si>
    <t>core_costs_opex</t>
  </si>
  <si>
    <t>core_costs_opex_noincoming</t>
  </si>
  <si>
    <t>core_costs_opex_incoming_only</t>
  </si>
  <si>
    <t>Total Core Capex</t>
  </si>
  <si>
    <t>Total Core Opex</t>
  </si>
  <si>
    <t>total_costs_core_capex</t>
  </si>
  <si>
    <t>total_costs_core_opex</t>
  </si>
  <si>
    <t>core_costs_capex</t>
  </si>
  <si>
    <t>6 - Termination</t>
  </si>
  <si>
    <t>Volumes</t>
  </si>
  <si>
    <t>core_costs_capex_discounted</t>
  </si>
  <si>
    <t>Discounted opex costs</t>
  </si>
  <si>
    <t>Discounted costs capex</t>
  </si>
  <si>
    <t>core_costs_opex_discounted</t>
  </si>
  <si>
    <t>core_costs_capex_discounted_pv</t>
  </si>
  <si>
    <t>core_costs_opex_discounted_pv</t>
  </si>
  <si>
    <t>Discounted capex / wacc index</t>
  </si>
  <si>
    <t>Discounted OPEX</t>
  </si>
  <si>
    <t>CAPEX Vols</t>
  </si>
  <si>
    <t>CAPEX Price Indexed volumes</t>
  </si>
  <si>
    <t>volume_ed_capex</t>
  </si>
  <si>
    <t>Capex revenues</t>
  </si>
  <si>
    <t>volume_ed_opex</t>
  </si>
  <si>
    <t>Opex revenues</t>
  </si>
  <si>
    <t>core_costs_incoming_only</t>
  </si>
  <si>
    <t>core_costs_incoming_only_discounted_pv</t>
  </si>
  <si>
    <t>core_costs_opex_incomingonly_discounted_pv</t>
  </si>
  <si>
    <t>Pure LRIC Termination cost</t>
  </si>
  <si>
    <t>opex_tariff</t>
  </si>
  <si>
    <t>capex_tariff</t>
  </si>
  <si>
    <t>pure_lric</t>
  </si>
  <si>
    <t>REVENUE CHECK</t>
  </si>
  <si>
    <t>CAPEX tariff</t>
  </si>
  <si>
    <t>OPEX tariff</t>
  </si>
  <si>
    <t>pv_opex_volumes</t>
  </si>
  <si>
    <t>pv_capex_volumes</t>
  </si>
  <si>
    <t>Check</t>
  </si>
  <si>
    <t>Discounted Revenues = starting capex and opex</t>
  </si>
  <si>
    <t>Discounted revenues</t>
  </si>
  <si>
    <t>Discounted costs</t>
  </si>
  <si>
    <t>Stakeholder submission</t>
  </si>
  <si>
    <t>Source: Operator submission</t>
  </si>
  <si>
    <t xml:space="preserve">Discounted opex/ wacc index </t>
  </si>
  <si>
    <t>Discounted capex revenues</t>
  </si>
  <si>
    <t>Discounted opex revenues</t>
  </si>
  <si>
    <t>Termination rate x volumes</t>
  </si>
  <si>
    <t>Opex revenue + Capex revenues</t>
  </si>
  <si>
    <t>Step 2a - Network inputs for conversion of demand volumes to common network usage metrics</t>
  </si>
  <si>
    <t>Then, we calculate calls per hour for calls including an on-net factor (for CSCF)</t>
  </si>
  <si>
    <t>Calls per second / concurrent sessions - MRF, access SBC</t>
  </si>
  <si>
    <t xml:space="preserve">Concurrent sessions </t>
  </si>
  <si>
    <t>Exchange rate (EUR/ZAR) -depreciation</t>
  </si>
  <si>
    <t>Average</t>
  </si>
  <si>
    <t>Opex adjustment factor</t>
  </si>
  <si>
    <t>Opex adjustment index</t>
  </si>
  <si>
    <t>opex_factor_index</t>
  </si>
  <si>
    <t>CAGR</t>
  </si>
  <si>
    <t>Non-homogeneity factor</t>
  </si>
  <si>
    <t>Average of mobile</t>
  </si>
  <si>
    <t>non_homo_fixed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</si>
</sst>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 #,##0.00_);_(* \(#,##0.00\);_(* &quot;-&quot;??_);_(@_)"/>
    <numFmt numFmtId="165" formatCode="0.0"/>
    <numFmt numFmtId="166" formatCode="_-* #,##0_-;\-* #,##0_-;_-* &quot;-&quot;??_-;_-@_-"/>
    <numFmt numFmtId="167" formatCode="0.0%"/>
    <numFmt numFmtId="168" formatCode="_-* #,##0_-;\-* #,##0_-;_-* &quot;-&quot;?_-;_-@_-"/>
    <numFmt numFmtId="169" formatCode="_-* #,##0.0_-;\-* #,##0.0_-;_-* &quot;-&quot;??_-;_-@_-"/>
    <numFmt numFmtId="170" formatCode="_-* #,##0.0_-;\-* #,##0.0_-;_-* &quot;-&quot;?_-;_-@_-"/>
    <numFmt numFmtId="171" formatCode="_-* #,##0_-;\-* #,##0_-;_-* &quot;-&quot;???_-;_-@_-"/>
    <numFmt numFmtId="172" formatCode="* _(#,##0_);[Red]* \(#,##0\);* _(&quot;-&quot;?_);@_)"/>
    <numFmt numFmtId="173" formatCode="#,##0_);[Red]\-#,##0_);0_);@_)"/>
    <numFmt numFmtId="174" formatCode="0.0000%"/>
    <numFmt numFmtId="175" formatCode="_-[$R-1C09]* #,##0.00_-;\-[$R-1C09]* #,##0.00_-;_-[$R-1C09]* &quot;-&quot;??_-;_-@_-"/>
    <numFmt numFmtId="176" formatCode="_-* #,##0.0000_-;\-* #,##0.0000_-;_-* &quot;-&quot;??_-;_-@_-"/>
    <numFmt numFmtId="177" formatCode="_-[$R-1C09]* #,##0_-;\-[$R-1C09]* #,##0_-;_-[$R-1C09]* &quot;-&quot;??_-;_-@_-"/>
    <numFmt numFmtId="178" formatCode="_-* #,##0.000_-;\-* #,##0.000_-;_-* &quot;-&quot;??_-;_-@_-"/>
    <numFmt numFmtId="179" formatCode="0.00000"/>
    <numFmt numFmtId="180" formatCode="_-* #,##0.00000_-;\-* #,##0.00000_-;_-* &quot;-&quot;??_-;_-@_-"/>
    <numFmt numFmtId="181" formatCode="0.0000"/>
    <numFmt numFmtId="182" formatCode="0.000"/>
  </numFmts>
  <fonts count="34" x14ac:knownFonts="1">
    <font>
      <sz val="11"/>
      <color theme="1"/>
      <name val="Calibri"/>
      <family val="2"/>
      <scheme val="minor"/>
    </font>
    <font>
      <sz val="8"/>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sz val="11"/>
      <name val="Calibri"/>
      <family val="2"/>
      <scheme val="minor"/>
    </font>
    <font>
      <i/>
      <sz val="11"/>
      <color rgb="FFFF0000"/>
      <name val="Calibri"/>
      <family val="2"/>
      <scheme val="minor"/>
    </font>
    <font>
      <i/>
      <sz val="11"/>
      <color theme="9" tint="-0.249977111117893"/>
      <name val="Calibri"/>
      <family val="2"/>
      <scheme val="minor"/>
    </font>
    <font>
      <b/>
      <i/>
      <sz val="11"/>
      <color theme="1"/>
      <name val="Calibri"/>
      <family val="2"/>
      <scheme val="minor"/>
    </font>
    <font>
      <sz val="10"/>
      <color theme="1"/>
      <name val="Arial"/>
      <family val="2"/>
    </font>
    <font>
      <b/>
      <sz val="11"/>
      <name val="Calibri"/>
      <family val="2"/>
      <scheme val="minor"/>
    </font>
    <font>
      <sz val="9"/>
      <name val="Arial"/>
      <family val="2"/>
    </font>
    <font>
      <b/>
      <sz val="14"/>
      <name val="Arial"/>
      <family val="2"/>
    </font>
    <font>
      <b/>
      <sz val="9"/>
      <name val="Arial"/>
      <family val="2"/>
    </font>
    <font>
      <b/>
      <i/>
      <sz val="11"/>
      <color rgb="FFFF0000"/>
      <name val="Calibri"/>
      <family val="2"/>
      <scheme val="minor"/>
    </font>
    <font>
      <b/>
      <sz val="11"/>
      <color rgb="FF000000"/>
      <name val="Calibri"/>
      <family val="2"/>
      <scheme val="minor"/>
    </font>
    <font>
      <sz val="11"/>
      <color rgb="FF000000"/>
      <name val="Calibri"/>
      <family val="2"/>
      <scheme val="minor"/>
    </font>
    <font>
      <sz val="11"/>
      <color theme="9"/>
      <name val="Calibri"/>
      <family val="2"/>
      <scheme val="minor"/>
    </font>
    <font>
      <b/>
      <sz val="11"/>
      <color rgb="FFFF0000"/>
      <name val="Calibri"/>
      <family val="2"/>
      <scheme val="minor"/>
    </font>
    <font>
      <i/>
      <sz val="11"/>
      <name val="Calibri"/>
      <family val="2"/>
      <scheme val="minor"/>
    </font>
    <font>
      <b/>
      <sz val="14"/>
      <name val="Calibri"/>
      <family val="2"/>
      <scheme val="minor"/>
    </font>
    <font>
      <b/>
      <sz val="14"/>
      <color theme="1"/>
      <name val="Calibri"/>
      <family val="2"/>
      <scheme val="minor"/>
    </font>
    <font>
      <sz val="14"/>
      <color theme="1"/>
      <name val="Calibri"/>
      <family val="2"/>
      <scheme val="minor"/>
    </font>
    <font>
      <sz val="9"/>
      <name val="Calibri"/>
      <family val="2"/>
      <scheme val="minor"/>
    </font>
    <font>
      <b/>
      <sz val="9"/>
      <name val="Calibri"/>
      <family val="2"/>
      <scheme val="minor"/>
    </font>
    <font>
      <b/>
      <sz val="16"/>
      <name val="Calibri"/>
      <family val="2"/>
      <scheme val="minor"/>
    </font>
    <font>
      <b/>
      <sz val="13"/>
      <color theme="1"/>
      <name val="Calibri"/>
      <family val="2"/>
      <scheme val="minor"/>
    </font>
    <font>
      <b/>
      <i/>
      <sz val="11"/>
      <color rgb="FF000000"/>
      <name val="Calibri"/>
      <family val="2"/>
      <scheme val="minor"/>
    </font>
    <font>
      <i/>
      <u/>
      <sz val="11"/>
      <color theme="10"/>
      <name val="Calibri"/>
      <family val="2"/>
      <scheme val="minor"/>
    </font>
    <font>
      <b/>
      <i/>
      <u/>
      <sz val="11"/>
      <color theme="10"/>
      <name val="Calibri"/>
      <family val="2"/>
      <scheme val="minor"/>
    </font>
  </fonts>
  <fills count="16">
    <fill>
      <patternFill patternType="none"/>
    </fill>
    <fill>
      <patternFill patternType="gray125"/>
    </fill>
    <fill>
      <patternFill patternType="solid">
        <fgColor rgb="FFFF0000"/>
        <bgColor indexed="64"/>
      </patternFill>
    </fill>
    <fill>
      <patternFill patternType="solid">
        <fgColor theme="9" tint="0.59999389629810485"/>
        <bgColor indexed="64"/>
      </patternFill>
    </fill>
    <fill>
      <patternFill patternType="solid">
        <fgColor indexed="42"/>
        <bgColor indexed="64"/>
      </patternFill>
    </fill>
    <fill>
      <patternFill patternType="solid">
        <fgColor indexed="11"/>
        <bgColor indexed="64"/>
      </patternFill>
    </fill>
    <fill>
      <patternFill patternType="solid">
        <fgColor indexed="13"/>
        <bgColor indexed="64"/>
      </patternFill>
    </fill>
    <fill>
      <patternFill patternType="solid">
        <fgColor indexed="13"/>
        <bgColor indexed="15"/>
      </patternFill>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92D05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57"/>
      </left>
      <right style="thin">
        <color indexed="57"/>
      </right>
      <top style="thin">
        <color indexed="57"/>
      </top>
      <bottom style="thin">
        <color indexed="57"/>
      </bottom>
      <diagonal/>
    </border>
    <border>
      <left style="thin">
        <color indexed="64"/>
      </left>
      <right style="thin">
        <color indexed="64"/>
      </right>
      <top style="thin">
        <color indexed="64"/>
      </top>
      <bottom/>
      <diagonal/>
    </border>
    <border>
      <left style="dotted">
        <color indexed="57"/>
      </left>
      <right style="dotted">
        <color indexed="57"/>
      </right>
      <top style="dotted">
        <color indexed="57"/>
      </top>
      <bottom style="dotted">
        <color indexed="57"/>
      </bottom>
      <diagonal/>
    </border>
  </borders>
  <cellStyleXfs count="16">
    <xf numFmtId="0" fontId="0" fillId="0" borderId="0"/>
    <xf numFmtId="43" fontId="3" fillId="0" borderId="0" applyFon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xf numFmtId="38" fontId="13" fillId="0" borderId="15">
      <alignment vertical="center"/>
      <protection locked="0"/>
    </xf>
    <xf numFmtId="0" fontId="15" fillId="4" borderId="0" applyNumberFormat="0" applyAlignment="0">
      <alignment vertical="center"/>
    </xf>
    <xf numFmtId="0" fontId="15" fillId="0" borderId="15" applyNumberFormat="0" applyAlignment="0">
      <alignment vertical="center"/>
      <protection locked="0"/>
    </xf>
    <xf numFmtId="172" fontId="15" fillId="0" borderId="0" applyFont="0" applyFill="0" applyBorder="0" applyAlignment="0" applyProtection="0">
      <alignment vertical="center"/>
    </xf>
    <xf numFmtId="0" fontId="15" fillId="6" borderId="0" applyNumberFormat="0" applyFont="0" applyBorder="0" applyAlignment="0" applyProtection="0">
      <alignment vertical="center"/>
    </xf>
    <xf numFmtId="0" fontId="15" fillId="0" borderId="17" applyNumberFormat="0" applyAlignment="0">
      <alignment vertical="center"/>
    </xf>
    <xf numFmtId="173" fontId="15" fillId="7" borderId="15" applyNumberFormat="0" applyAlignment="0">
      <alignment vertical="center"/>
      <protection locked="0"/>
    </xf>
    <xf numFmtId="0" fontId="15" fillId="5" borderId="0" applyNumberFormat="0" applyAlignment="0">
      <alignment vertical="center"/>
    </xf>
    <xf numFmtId="0" fontId="16" fillId="0" borderId="0" applyNumberFormat="0" applyFill="0" applyBorder="0" applyAlignment="0" applyProtection="0">
      <alignment vertical="center"/>
    </xf>
    <xf numFmtId="0" fontId="17" fillId="8" borderId="0" applyNumberFormat="0">
      <alignment horizontal="center" vertical="top" wrapText="1"/>
    </xf>
    <xf numFmtId="172" fontId="15" fillId="0" borderId="0" applyFont="0" applyFill="0" applyBorder="0" applyAlignment="0" applyProtection="0">
      <alignment vertical="center"/>
    </xf>
    <xf numFmtId="164" fontId="3" fillId="0" borderId="0" applyFont="0" applyFill="0" applyBorder="0" applyAlignment="0" applyProtection="0"/>
  </cellStyleXfs>
  <cellXfs count="262">
    <xf numFmtId="0" fontId="0" fillId="0" borderId="0" xfId="0"/>
    <xf numFmtId="0" fontId="2" fillId="0" borderId="0" xfId="0" applyFont="1"/>
    <xf numFmtId="0" fontId="4" fillId="0" borderId="0" xfId="0" applyFont="1"/>
    <xf numFmtId="2" fontId="0" fillId="0" borderId="9" xfId="0" applyNumberFormat="1" applyBorder="1"/>
    <xf numFmtId="166" fontId="0" fillId="0" borderId="9" xfId="0" applyNumberFormat="1" applyBorder="1"/>
    <xf numFmtId="166" fontId="0" fillId="0" borderId="9" xfId="1" applyNumberFormat="1" applyFont="1" applyBorder="1"/>
    <xf numFmtId="0" fontId="10" fillId="0" borderId="0" xfId="0" applyFont="1"/>
    <xf numFmtId="0" fontId="0" fillId="0" borderId="9" xfId="0" applyBorder="1"/>
    <xf numFmtId="9" fontId="0" fillId="2" borderId="9" xfId="0" applyNumberFormat="1" applyFill="1" applyBorder="1"/>
    <xf numFmtId="0" fontId="0" fillId="2" borderId="9" xfId="0" applyFill="1" applyBorder="1"/>
    <xf numFmtId="166" fontId="0" fillId="0" borderId="9" xfId="1" applyNumberFormat="1" applyFont="1" applyFill="1" applyBorder="1"/>
    <xf numFmtId="0" fontId="7" fillId="9" borderId="0" xfId="0" applyFont="1" applyFill="1" applyAlignment="1">
      <alignment vertical="center"/>
    </xf>
    <xf numFmtId="0" fontId="0" fillId="9" borderId="0" xfId="0" applyFill="1"/>
    <xf numFmtId="0" fontId="10" fillId="9" borderId="0" xfId="0" applyFont="1" applyFill="1" applyAlignment="1">
      <alignment wrapText="1"/>
    </xf>
    <xf numFmtId="0" fontId="4" fillId="9" borderId="9" xfId="0" applyFont="1" applyFill="1" applyBorder="1"/>
    <xf numFmtId="0" fontId="10" fillId="9" borderId="0" xfId="0" applyFont="1" applyFill="1"/>
    <xf numFmtId="166" fontId="0" fillId="9" borderId="9" xfId="0" applyNumberFormat="1" applyFill="1" applyBorder="1"/>
    <xf numFmtId="0" fontId="0" fillId="9" borderId="9" xfId="0" applyFill="1" applyBorder="1"/>
    <xf numFmtId="0" fontId="9" fillId="9" borderId="0" xfId="0" applyFont="1" applyFill="1"/>
    <xf numFmtId="0" fontId="6" fillId="9" borderId="0" xfId="3" applyFill="1"/>
    <xf numFmtId="0" fontId="6" fillId="9" borderId="0" xfId="3" applyFill="1" applyBorder="1"/>
    <xf numFmtId="0" fontId="4" fillId="9" borderId="0" xfId="0" applyFont="1" applyFill="1"/>
    <xf numFmtId="0" fontId="4" fillId="9" borderId="11" xfId="0" applyFont="1" applyFill="1" applyBorder="1"/>
    <xf numFmtId="166" fontId="0" fillId="9" borderId="0" xfId="0" applyNumberFormat="1" applyFill="1"/>
    <xf numFmtId="10" fontId="0" fillId="9" borderId="0" xfId="0" applyNumberFormat="1" applyFill="1"/>
    <xf numFmtId="10" fontId="0" fillId="9" borderId="9" xfId="0" applyNumberFormat="1" applyFill="1" applyBorder="1"/>
    <xf numFmtId="166" fontId="0" fillId="9" borderId="9" xfId="1" applyNumberFormat="1" applyFont="1" applyFill="1" applyBorder="1"/>
    <xf numFmtId="0" fontId="24" fillId="10" borderId="0" xfId="0" applyFont="1" applyFill="1" applyAlignment="1">
      <alignment vertical="center"/>
    </xf>
    <xf numFmtId="0" fontId="7" fillId="10" borderId="0" xfId="0" applyFont="1" applyFill="1" applyAlignment="1">
      <alignment vertical="center"/>
    </xf>
    <xf numFmtId="0" fontId="4" fillId="10" borderId="9" xfId="0" applyFont="1" applyFill="1" applyBorder="1"/>
    <xf numFmtId="0" fontId="4" fillId="10" borderId="11" xfId="0" applyFont="1" applyFill="1" applyBorder="1"/>
    <xf numFmtId="0" fontId="4" fillId="10" borderId="9" xfId="0" applyFont="1" applyFill="1" applyBorder="1" applyAlignment="1">
      <alignment wrapText="1"/>
    </xf>
    <xf numFmtId="10" fontId="4" fillId="10" borderId="9" xfId="0" applyNumberFormat="1" applyFont="1" applyFill="1" applyBorder="1" applyAlignment="1">
      <alignment wrapText="1"/>
    </xf>
    <xf numFmtId="0" fontId="0" fillId="9" borderId="11" xfId="0" applyFill="1" applyBorder="1"/>
    <xf numFmtId="0" fontId="4" fillId="9" borderId="1" xfId="0" applyFont="1" applyFill="1" applyBorder="1"/>
    <xf numFmtId="0" fontId="0" fillId="9" borderId="2" xfId="0" applyFill="1" applyBorder="1"/>
    <xf numFmtId="0" fontId="0" fillId="9" borderId="3" xfId="0" applyFill="1" applyBorder="1"/>
    <xf numFmtId="0" fontId="0" fillId="9" borderId="4" xfId="0" applyFill="1" applyBorder="1"/>
    <xf numFmtId="0" fontId="0" fillId="9" borderId="5" xfId="0" applyFill="1" applyBorder="1"/>
    <xf numFmtId="0" fontId="0" fillId="9" borderId="0" xfId="0" applyFill="1" applyAlignment="1">
      <alignment wrapText="1"/>
    </xf>
    <xf numFmtId="0" fontId="0" fillId="9" borderId="10" xfId="0" applyFill="1" applyBorder="1"/>
    <xf numFmtId="0" fontId="0" fillId="9" borderId="9" xfId="0" applyFill="1" applyBorder="1" applyAlignment="1">
      <alignment wrapText="1"/>
    </xf>
    <xf numFmtId="0" fontId="0" fillId="9" borderId="4" xfId="0" applyFill="1" applyBorder="1" applyAlignment="1">
      <alignment wrapText="1"/>
    </xf>
    <xf numFmtId="0" fontId="0" fillId="9" borderId="16" xfId="0" applyFill="1" applyBorder="1"/>
    <xf numFmtId="0" fontId="0" fillId="9" borderId="6" xfId="0" applyFill="1" applyBorder="1"/>
    <xf numFmtId="0" fontId="0" fillId="9" borderId="7" xfId="0" applyFill="1" applyBorder="1"/>
    <xf numFmtId="0" fontId="0" fillId="9" borderId="8" xfId="0" applyFill="1" applyBorder="1"/>
    <xf numFmtId="0" fontId="4" fillId="9" borderId="9" xfId="0" applyFont="1" applyFill="1" applyBorder="1" applyAlignment="1">
      <alignment horizontal="center"/>
    </xf>
    <xf numFmtId="0" fontId="4" fillId="10" borderId="0" xfId="0" applyFont="1" applyFill="1"/>
    <xf numFmtId="0" fontId="0" fillId="10" borderId="0" xfId="0" applyFill="1"/>
    <xf numFmtId="0" fontId="25" fillId="10" borderId="0" xfId="0" applyFont="1" applyFill="1"/>
    <xf numFmtId="0" fontId="26" fillId="10" borderId="0" xfId="0" applyFont="1" applyFill="1"/>
    <xf numFmtId="0" fontId="4" fillId="10" borderId="9" xfId="0" applyFont="1" applyFill="1" applyBorder="1" applyAlignment="1">
      <alignment horizontal="center"/>
    </xf>
    <xf numFmtId="0" fontId="4" fillId="10" borderId="16" xfId="0" applyFont="1" applyFill="1" applyBorder="1" applyAlignment="1">
      <alignment horizontal="center"/>
    </xf>
    <xf numFmtId="0" fontId="0" fillId="10" borderId="9" xfId="0" applyFill="1" applyBorder="1" applyAlignment="1">
      <alignment wrapText="1"/>
    </xf>
    <xf numFmtId="0" fontId="25" fillId="10" borderId="0" xfId="0" applyFont="1" applyFill="1" applyAlignment="1">
      <alignment wrapText="1"/>
    </xf>
    <xf numFmtId="0" fontId="4" fillId="9" borderId="0" xfId="0" applyFont="1" applyFill="1" applyAlignment="1">
      <alignment wrapText="1"/>
    </xf>
    <xf numFmtId="0" fontId="22" fillId="9" borderId="0" xfId="0" applyFont="1" applyFill="1" applyAlignment="1">
      <alignment wrapText="1"/>
    </xf>
    <xf numFmtId="0" fontId="4" fillId="9" borderId="4" xfId="0" applyFont="1" applyFill="1" applyBorder="1"/>
    <xf numFmtId="175" fontId="0" fillId="9" borderId="0" xfId="0" applyNumberFormat="1" applyFill="1"/>
    <xf numFmtId="167" fontId="0" fillId="9" borderId="9" xfId="2" applyNumberFormat="1" applyFont="1" applyFill="1" applyBorder="1"/>
    <xf numFmtId="10" fontId="0" fillId="9" borderId="0" xfId="0" applyNumberFormat="1" applyFill="1" applyAlignment="1">
      <alignment wrapText="1"/>
    </xf>
    <xf numFmtId="10" fontId="4" fillId="9" borderId="0" xfId="0" applyNumberFormat="1" applyFont="1" applyFill="1" applyAlignment="1">
      <alignment wrapText="1"/>
    </xf>
    <xf numFmtId="10" fontId="4" fillId="9" borderId="0" xfId="0" applyNumberFormat="1" applyFont="1" applyFill="1"/>
    <xf numFmtId="166" fontId="4" fillId="9" borderId="0" xfId="0" applyNumberFormat="1" applyFont="1" applyFill="1"/>
    <xf numFmtId="0" fontId="0" fillId="10" borderId="9" xfId="0" applyFill="1" applyBorder="1" applyAlignment="1">
      <alignment horizontal="center"/>
    </xf>
    <xf numFmtId="0" fontId="14" fillId="9" borderId="0" xfId="0" applyFont="1" applyFill="1" applyAlignment="1">
      <alignment wrapText="1"/>
    </xf>
    <xf numFmtId="0" fontId="9" fillId="9" borderId="0" xfId="0" applyFont="1" applyFill="1" applyAlignment="1">
      <alignment wrapText="1"/>
    </xf>
    <xf numFmtId="177" fontId="0" fillId="9" borderId="9" xfId="0" applyNumberFormat="1" applyFill="1" applyBorder="1"/>
    <xf numFmtId="177" fontId="0" fillId="9" borderId="11" xfId="0" applyNumberFormat="1" applyFill="1" applyBorder="1"/>
    <xf numFmtId="177" fontId="0" fillId="9" borderId="16" xfId="0" applyNumberFormat="1" applyFill="1" applyBorder="1"/>
    <xf numFmtId="166" fontId="0" fillId="9" borderId="10" xfId="1" applyNumberFormat="1" applyFont="1" applyFill="1" applyBorder="1"/>
    <xf numFmtId="43" fontId="0" fillId="9" borderId="0" xfId="1" applyFont="1" applyFill="1"/>
    <xf numFmtId="166" fontId="9" fillId="9" borderId="9" xfId="1" applyNumberFormat="1" applyFont="1" applyFill="1" applyBorder="1"/>
    <xf numFmtId="166" fontId="0" fillId="9" borderId="10" xfId="0" applyNumberFormat="1" applyFill="1" applyBorder="1"/>
    <xf numFmtId="166" fontId="0" fillId="9" borderId="0" xfId="1" applyNumberFormat="1" applyFont="1" applyFill="1" applyBorder="1"/>
    <xf numFmtId="169" fontId="0" fillId="9" borderId="0" xfId="1" applyNumberFormat="1" applyFont="1" applyFill="1" applyBorder="1"/>
    <xf numFmtId="2" fontId="0" fillId="9" borderId="0" xfId="0" applyNumberFormat="1" applyFill="1"/>
    <xf numFmtId="10" fontId="0" fillId="9" borderId="9" xfId="2" applyNumberFormat="1" applyFont="1" applyFill="1" applyBorder="1"/>
    <xf numFmtId="0" fontId="4" fillId="10" borderId="0" xfId="0" applyFont="1" applyFill="1" applyAlignment="1">
      <alignment wrapText="1"/>
    </xf>
    <xf numFmtId="0" fontId="23" fillId="9" borderId="0" xfId="0" applyFont="1" applyFill="1"/>
    <xf numFmtId="166" fontId="0" fillId="9" borderId="0" xfId="1" applyNumberFormat="1" applyFont="1" applyFill="1"/>
    <xf numFmtId="1" fontId="0" fillId="9" borderId="0" xfId="0" applyNumberFormat="1" applyFill="1"/>
    <xf numFmtId="0" fontId="11" fillId="9" borderId="0" xfId="0" applyFont="1" applyFill="1"/>
    <xf numFmtId="0" fontId="2" fillId="9" borderId="0" xfId="0" applyFont="1" applyFill="1"/>
    <xf numFmtId="0" fontId="2" fillId="10" borderId="0" xfId="0" applyFont="1" applyFill="1"/>
    <xf numFmtId="0" fontId="12" fillId="10" borderId="0" xfId="0" applyFont="1" applyFill="1"/>
    <xf numFmtId="0" fontId="12" fillId="9" borderId="0" xfId="0" applyFont="1" applyFill="1"/>
    <xf numFmtId="0" fontId="16" fillId="10" borderId="0" xfId="0" applyFont="1" applyFill="1"/>
    <xf numFmtId="0" fontId="24" fillId="10" borderId="0" xfId="0" applyFont="1" applyFill="1"/>
    <xf numFmtId="0" fontId="7" fillId="10" borderId="0" xfId="0" applyFont="1" applyFill="1"/>
    <xf numFmtId="0" fontId="7" fillId="9" borderId="0" xfId="0" applyFont="1" applyFill="1"/>
    <xf numFmtId="0" fontId="14" fillId="9" borderId="0" xfId="0" applyFont="1" applyFill="1"/>
    <xf numFmtId="0" fontId="14" fillId="10" borderId="0" xfId="0" applyFont="1" applyFill="1"/>
    <xf numFmtId="0" fontId="10" fillId="9" borderId="9" xfId="0" applyFont="1" applyFill="1" applyBorder="1"/>
    <xf numFmtId="0" fontId="0" fillId="9" borderId="11" xfId="0" applyFill="1" applyBorder="1" applyAlignment="1">
      <alignment wrapText="1"/>
    </xf>
    <xf numFmtId="0" fontId="6" fillId="9" borderId="14" xfId="3" applyFill="1" applyBorder="1" applyAlignment="1"/>
    <xf numFmtId="0" fontId="0" fillId="9" borderId="14" xfId="0" applyFill="1" applyBorder="1"/>
    <xf numFmtId="0" fontId="0" fillId="9" borderId="12" xfId="0" applyFill="1" applyBorder="1"/>
    <xf numFmtId="0" fontId="0" fillId="9" borderId="4" xfId="2" applyNumberFormat="1" applyFont="1" applyFill="1" applyBorder="1" applyAlignment="1">
      <alignment horizontal="left" wrapText="1"/>
    </xf>
    <xf numFmtId="0" fontId="6" fillId="9" borderId="0" xfId="3" applyFill="1" applyBorder="1" applyAlignment="1">
      <alignment horizontal="left" wrapText="1"/>
    </xf>
    <xf numFmtId="0" fontId="6" fillId="9" borderId="0" xfId="3" applyFill="1" applyBorder="1" applyAlignment="1">
      <alignment wrapText="1"/>
    </xf>
    <xf numFmtId="0" fontId="6" fillId="9" borderId="5" xfId="3" applyFill="1" applyBorder="1" applyAlignment="1">
      <alignment wrapText="1"/>
    </xf>
    <xf numFmtId="0" fontId="0" fillId="9" borderId="1" xfId="0" applyFill="1" applyBorder="1"/>
    <xf numFmtId="1" fontId="0" fillId="9" borderId="2" xfId="0" applyNumberFormat="1" applyFill="1" applyBorder="1"/>
    <xf numFmtId="1" fontId="0" fillId="9" borderId="7" xfId="0" applyNumberFormat="1" applyFill="1" applyBorder="1"/>
    <xf numFmtId="9" fontId="0" fillId="9" borderId="5" xfId="2" applyFont="1" applyFill="1" applyBorder="1"/>
    <xf numFmtId="9" fontId="0" fillId="9" borderId="3" xfId="2" applyFont="1" applyFill="1" applyBorder="1"/>
    <xf numFmtId="9" fontId="0" fillId="9" borderId="8" xfId="2" applyFont="1" applyFill="1" applyBorder="1"/>
    <xf numFmtId="0" fontId="0" fillId="9" borderId="16" xfId="0" applyFill="1" applyBorder="1" applyAlignment="1">
      <alignment wrapText="1"/>
    </xf>
    <xf numFmtId="0" fontId="0" fillId="9" borderId="13" xfId="0" applyFill="1" applyBorder="1"/>
    <xf numFmtId="0" fontId="4" fillId="9" borderId="1" xfId="0" applyFont="1" applyFill="1" applyBorder="1" applyAlignment="1">
      <alignment horizontal="left" wrapText="1"/>
    </xf>
    <xf numFmtId="2" fontId="0" fillId="9" borderId="9" xfId="0" applyNumberFormat="1" applyFill="1" applyBorder="1"/>
    <xf numFmtId="0" fontId="0" fillId="9" borderId="2" xfId="0" applyFill="1" applyBorder="1" applyAlignment="1">
      <alignment wrapText="1"/>
    </xf>
    <xf numFmtId="0" fontId="5" fillId="9" borderId="0" xfId="0" applyFont="1" applyFill="1"/>
    <xf numFmtId="1" fontId="9" fillId="9" borderId="0" xfId="0" applyNumberFormat="1" applyFont="1" applyFill="1"/>
    <xf numFmtId="0" fontId="28" fillId="9" borderId="0" xfId="0" applyFont="1" applyFill="1" applyAlignment="1">
      <alignment horizontal="left" vertical="center" wrapText="1"/>
    </xf>
    <xf numFmtId="0" fontId="28" fillId="9" borderId="0" xfId="0" applyFont="1" applyFill="1" applyAlignment="1">
      <alignment horizontal="center" vertical="center" wrapText="1"/>
    </xf>
    <xf numFmtId="3" fontId="27" fillId="9" borderId="0" xfId="0" applyNumberFormat="1" applyFont="1" applyFill="1" applyAlignment="1">
      <alignment horizontal="right" vertical="center" wrapText="1"/>
    </xf>
    <xf numFmtId="0" fontId="27" fillId="9" borderId="0" xfId="0" applyFont="1" applyFill="1" applyAlignment="1">
      <alignment horizontal="right" vertical="center" wrapText="1"/>
    </xf>
    <xf numFmtId="0" fontId="28" fillId="9" borderId="0" xfId="0" applyFont="1" applyFill="1" applyAlignment="1">
      <alignment horizontal="right" vertical="center" wrapText="1"/>
    </xf>
    <xf numFmtId="3" fontId="9" fillId="9" borderId="0" xfId="0" applyNumberFormat="1" applyFont="1" applyFill="1"/>
    <xf numFmtId="165" fontId="9" fillId="9" borderId="0" xfId="0" applyNumberFormat="1" applyFont="1" applyFill="1"/>
    <xf numFmtId="167" fontId="9" fillId="9" borderId="0" xfId="2" applyNumberFormat="1" applyFont="1" applyFill="1" applyBorder="1"/>
    <xf numFmtId="167" fontId="9" fillId="9" borderId="0" xfId="0" applyNumberFormat="1" applyFont="1" applyFill="1"/>
    <xf numFmtId="15" fontId="0" fillId="9" borderId="0" xfId="0" applyNumberFormat="1" applyFill="1"/>
    <xf numFmtId="0" fontId="25" fillId="10" borderId="0" xfId="0" applyFont="1" applyFill="1" applyAlignment="1">
      <alignment horizontal="left" vertical="center"/>
    </xf>
    <xf numFmtId="0" fontId="8" fillId="10" borderId="0" xfId="0" applyFont="1" applyFill="1"/>
    <xf numFmtId="0" fontId="8" fillId="9" borderId="0" xfId="0" applyFont="1" applyFill="1"/>
    <xf numFmtId="0" fontId="12" fillId="10" borderId="9" xfId="0" applyFont="1" applyFill="1" applyBorder="1"/>
    <xf numFmtId="0" fontId="20" fillId="9" borderId="0" xfId="0" applyFont="1" applyFill="1" applyAlignment="1">
      <alignment horizontal="left" vertical="center" wrapText="1" readingOrder="1"/>
    </xf>
    <xf numFmtId="10" fontId="0" fillId="2" borderId="9" xfId="0" applyNumberFormat="1" applyFill="1" applyBorder="1"/>
    <xf numFmtId="0" fontId="29" fillId="10" borderId="0" xfId="0" applyFont="1" applyFill="1"/>
    <xf numFmtId="167" fontId="0" fillId="9" borderId="0" xfId="0" applyNumberFormat="1" applyFill="1"/>
    <xf numFmtId="0" fontId="10" fillId="9" borderId="0" xfId="0" applyFont="1" applyFill="1" applyAlignment="1">
      <alignment vertical="center"/>
    </xf>
    <xf numFmtId="167" fontId="0" fillId="2" borderId="9" xfId="0" applyNumberFormat="1" applyFill="1" applyBorder="1"/>
    <xf numFmtId="0" fontId="20" fillId="9" borderId="0" xfId="0" applyFont="1" applyFill="1" applyAlignment="1">
      <alignment horizontal="right" vertical="center" wrapText="1" readingOrder="1"/>
    </xf>
    <xf numFmtId="0" fontId="20" fillId="9" borderId="9" xfId="0" applyFont="1" applyFill="1" applyBorder="1" applyAlignment="1">
      <alignment horizontal="right" vertical="center" wrapText="1" readingOrder="1"/>
    </xf>
    <xf numFmtId="168" fontId="0" fillId="9" borderId="9" xfId="0" applyNumberFormat="1" applyFill="1" applyBorder="1"/>
    <xf numFmtId="170" fontId="0" fillId="9" borderId="0" xfId="0" applyNumberFormat="1" applyFill="1"/>
    <xf numFmtId="168" fontId="0" fillId="9" borderId="12" xfId="0" applyNumberFormat="1" applyFill="1" applyBorder="1"/>
    <xf numFmtId="171" fontId="0" fillId="9" borderId="10" xfId="0" applyNumberFormat="1" applyFill="1" applyBorder="1"/>
    <xf numFmtId="171" fontId="0" fillId="9" borderId="9" xfId="0" applyNumberFormat="1" applyFill="1" applyBorder="1"/>
    <xf numFmtId="10" fontId="0" fillId="9" borderId="10" xfId="0" applyNumberFormat="1" applyFill="1" applyBorder="1"/>
    <xf numFmtId="0" fontId="0" fillId="10" borderId="14" xfId="0" applyFill="1" applyBorder="1"/>
    <xf numFmtId="0" fontId="0" fillId="10" borderId="12" xfId="0" applyFill="1" applyBorder="1"/>
    <xf numFmtId="0" fontId="19" fillId="10" borderId="0" xfId="0" applyFont="1" applyFill="1" applyAlignment="1">
      <alignment horizontal="left" vertical="center" wrapText="1" readingOrder="1"/>
    </xf>
    <xf numFmtId="0" fontId="20" fillId="10" borderId="0" xfId="0" applyFont="1" applyFill="1" applyAlignment="1">
      <alignment horizontal="left" vertical="center" wrapText="1" readingOrder="1"/>
    </xf>
    <xf numFmtId="0" fontId="20" fillId="10" borderId="0" xfId="0" applyFont="1" applyFill="1" applyAlignment="1">
      <alignment horizontal="right" vertical="center" wrapText="1" readingOrder="1"/>
    </xf>
    <xf numFmtId="0" fontId="9" fillId="10" borderId="0" xfId="0" applyFont="1" applyFill="1"/>
    <xf numFmtId="0" fontId="9" fillId="13" borderId="0" xfId="0" applyFont="1" applyFill="1" applyAlignment="1">
      <alignment wrapText="1"/>
    </xf>
    <xf numFmtId="0" fontId="0" fillId="13" borderId="0" xfId="0" applyFill="1"/>
    <xf numFmtId="166" fontId="9" fillId="9" borderId="9" xfId="0" applyNumberFormat="1" applyFont="1" applyFill="1" applyBorder="1"/>
    <xf numFmtId="0" fontId="30" fillId="10" borderId="0" xfId="0" applyFont="1" applyFill="1"/>
    <xf numFmtId="0" fontId="0" fillId="13" borderId="0" xfId="0" applyFill="1" applyAlignment="1">
      <alignment vertical="top" wrapText="1"/>
    </xf>
    <xf numFmtId="0" fontId="0" fillId="13" borderId="0" xfId="0" applyFill="1" applyAlignment="1">
      <alignment vertical="top"/>
    </xf>
    <xf numFmtId="0" fontId="10" fillId="10" borderId="0" xfId="0" applyFont="1" applyFill="1" applyAlignment="1">
      <alignment vertical="center"/>
    </xf>
    <xf numFmtId="0" fontId="20" fillId="2" borderId="9" xfId="0" applyFont="1" applyFill="1" applyBorder="1" applyAlignment="1">
      <alignment horizontal="right" vertical="center" wrapText="1" readingOrder="1"/>
    </xf>
    <xf numFmtId="0" fontId="19" fillId="10" borderId="0" xfId="0" applyFont="1" applyFill="1" applyAlignment="1">
      <alignment horizontal="right" vertical="center" wrapText="1" readingOrder="1"/>
    </xf>
    <xf numFmtId="0" fontId="18" fillId="10" borderId="0" xfId="0" applyFont="1" applyFill="1" applyAlignment="1">
      <alignment vertical="center"/>
    </xf>
    <xf numFmtId="9" fontId="20" fillId="2" borderId="9" xfId="0" applyNumberFormat="1" applyFont="1" applyFill="1" applyBorder="1" applyAlignment="1">
      <alignment horizontal="right" vertical="center" wrapText="1" readingOrder="1"/>
    </xf>
    <xf numFmtId="9" fontId="20" fillId="0" borderId="0" xfId="0" applyNumberFormat="1" applyFont="1" applyAlignment="1">
      <alignment horizontal="right" vertical="center" wrapText="1" readingOrder="1"/>
    </xf>
    <xf numFmtId="166" fontId="20" fillId="2" borderId="9" xfId="1" applyNumberFormat="1" applyFont="1" applyFill="1" applyBorder="1" applyAlignment="1">
      <alignment horizontal="right" vertical="center" wrapText="1" readingOrder="1"/>
    </xf>
    <xf numFmtId="0" fontId="20" fillId="9" borderId="0" xfId="0" applyFont="1" applyFill="1" applyAlignment="1">
      <alignment horizontal="left" vertical="center" readingOrder="1"/>
    </xf>
    <xf numFmtId="168" fontId="0" fillId="9" borderId="0" xfId="0" applyNumberFormat="1" applyFill="1"/>
    <xf numFmtId="168" fontId="0" fillId="10" borderId="0" xfId="0" applyNumberFormat="1" applyFill="1"/>
    <xf numFmtId="0" fontId="10" fillId="10" borderId="0" xfId="0" applyFont="1" applyFill="1"/>
    <xf numFmtId="0" fontId="31" fillId="9" borderId="0" xfId="0" applyFont="1" applyFill="1" applyAlignment="1">
      <alignment horizontal="left" vertical="center" wrapText="1" readingOrder="1"/>
    </xf>
    <xf numFmtId="0" fontId="19" fillId="9" borderId="0" xfId="0" applyFont="1" applyFill="1" applyAlignment="1">
      <alignment horizontal="right" vertical="center" wrapText="1" readingOrder="1"/>
    </xf>
    <xf numFmtId="166" fontId="0" fillId="2" borderId="12" xfId="1" applyNumberFormat="1" applyFont="1" applyFill="1" applyBorder="1"/>
    <xf numFmtId="166" fontId="20" fillId="2" borderId="9" xfId="0" applyNumberFormat="1" applyFont="1" applyFill="1" applyBorder="1" applyAlignment="1">
      <alignment horizontal="right" vertical="center" wrapText="1" readingOrder="1"/>
    </xf>
    <xf numFmtId="168" fontId="0" fillId="0" borderId="9" xfId="0" applyNumberFormat="1" applyBorder="1"/>
    <xf numFmtId="168" fontId="0" fillId="0" borderId="9" xfId="1" applyNumberFormat="1" applyFont="1" applyFill="1" applyBorder="1"/>
    <xf numFmtId="168" fontId="0" fillId="0" borderId="16" xfId="0" applyNumberFormat="1" applyBorder="1"/>
    <xf numFmtId="0" fontId="0" fillId="9" borderId="0" xfId="0" applyFill="1" applyAlignment="1">
      <alignment vertical="top" wrapText="1"/>
    </xf>
    <xf numFmtId="167" fontId="20" fillId="2" borderId="9" xfId="2" applyNumberFormat="1" applyFont="1" applyFill="1" applyBorder="1" applyAlignment="1">
      <alignment horizontal="right" vertical="center" wrapText="1" readingOrder="1"/>
    </xf>
    <xf numFmtId="0" fontId="23" fillId="9" borderId="0" xfId="0" applyFont="1" applyFill="1" applyAlignment="1">
      <alignment horizontal="left" vertical="center" readingOrder="1"/>
    </xf>
    <xf numFmtId="0" fontId="12" fillId="9" borderId="0" xfId="0" applyFont="1" applyFill="1" applyAlignment="1">
      <alignment horizontal="center"/>
    </xf>
    <xf numFmtId="1" fontId="0" fillId="9" borderId="0" xfId="1" applyNumberFormat="1" applyFont="1" applyFill="1" applyBorder="1"/>
    <xf numFmtId="166" fontId="0" fillId="9" borderId="16" xfId="1" applyNumberFormat="1" applyFont="1" applyFill="1" applyBorder="1"/>
    <xf numFmtId="167" fontId="0" fillId="2" borderId="16" xfId="2" applyNumberFormat="1" applyFont="1" applyFill="1" applyBorder="1"/>
    <xf numFmtId="167" fontId="0" fillId="2" borderId="9" xfId="2" applyNumberFormat="1" applyFont="1" applyFill="1" applyBorder="1"/>
    <xf numFmtId="0" fontId="10" fillId="0" borderId="9" xfId="0" applyFont="1" applyBorder="1"/>
    <xf numFmtId="0" fontId="9" fillId="0" borderId="9" xfId="0" applyFont="1" applyBorder="1"/>
    <xf numFmtId="1" fontId="0" fillId="9" borderId="9" xfId="0" applyNumberFormat="1" applyFill="1" applyBorder="1"/>
    <xf numFmtId="0" fontId="0" fillId="10" borderId="4" xfId="0" applyFill="1" applyBorder="1"/>
    <xf numFmtId="1" fontId="0" fillId="10" borderId="9" xfId="0" applyNumberFormat="1" applyFill="1" applyBorder="1"/>
    <xf numFmtId="43" fontId="0" fillId="0" borderId="9" xfId="1" applyFont="1" applyFill="1" applyBorder="1"/>
    <xf numFmtId="0" fontId="0" fillId="14" borderId="0" xfId="0" applyFill="1"/>
    <xf numFmtId="0" fontId="0" fillId="14" borderId="0" xfId="0" applyFill="1" applyAlignment="1">
      <alignment vertical="top" wrapText="1"/>
    </xf>
    <xf numFmtId="167" fontId="0" fillId="0" borderId="16" xfId="2" applyNumberFormat="1" applyFont="1" applyFill="1" applyBorder="1" applyAlignment="1">
      <alignment wrapText="1"/>
    </xf>
    <xf numFmtId="0" fontId="4" fillId="10" borderId="16" xfId="0" applyFont="1" applyFill="1" applyBorder="1" applyAlignment="1">
      <alignment horizontal="right"/>
    </xf>
    <xf numFmtId="0" fontId="4" fillId="10" borderId="9" xfId="0" applyFont="1" applyFill="1" applyBorder="1" applyAlignment="1">
      <alignment horizontal="right"/>
    </xf>
    <xf numFmtId="9" fontId="0" fillId="0" borderId="9" xfId="1" applyNumberFormat="1" applyFont="1" applyBorder="1"/>
    <xf numFmtId="10" fontId="0" fillId="0" borderId="9" xfId="0" applyNumberFormat="1" applyBorder="1"/>
    <xf numFmtId="0" fontId="4" fillId="10" borderId="12" xfId="0" applyFont="1" applyFill="1" applyBorder="1" applyAlignment="1">
      <alignment horizontal="center"/>
    </xf>
    <xf numFmtId="0" fontId="0" fillId="10" borderId="9" xfId="0" applyFill="1" applyBorder="1"/>
    <xf numFmtId="0" fontId="10" fillId="10" borderId="9" xfId="0" applyFont="1" applyFill="1" applyBorder="1"/>
    <xf numFmtId="0" fontId="4" fillId="10" borderId="9" xfId="0" applyFont="1" applyFill="1" applyBorder="1" applyAlignment="1">
      <alignment horizontal="center" vertical="center"/>
    </xf>
    <xf numFmtId="166" fontId="0" fillId="9" borderId="12" xfId="0" applyNumberFormat="1" applyFill="1" applyBorder="1"/>
    <xf numFmtId="0" fontId="2" fillId="9" borderId="9" xfId="0" applyFont="1" applyFill="1" applyBorder="1"/>
    <xf numFmtId="0" fontId="0" fillId="9" borderId="4" xfId="0" applyFill="1" applyBorder="1" applyAlignment="1">
      <alignment horizontal="center"/>
    </xf>
    <xf numFmtId="0" fontId="0" fillId="9" borderId="0" xfId="0" applyFill="1" applyAlignment="1">
      <alignment horizontal="center"/>
    </xf>
    <xf numFmtId="10" fontId="0" fillId="0" borderId="9" xfId="2" applyNumberFormat="1" applyFont="1" applyBorder="1"/>
    <xf numFmtId="9" fontId="0" fillId="9" borderId="9" xfId="2" applyFont="1" applyFill="1" applyBorder="1"/>
    <xf numFmtId="9" fontId="0" fillId="9" borderId="9" xfId="0" applyNumberFormat="1" applyFill="1" applyBorder="1"/>
    <xf numFmtId="167" fontId="0" fillId="0" borderId="9" xfId="2" applyNumberFormat="1" applyFont="1" applyFill="1" applyBorder="1"/>
    <xf numFmtId="166" fontId="0" fillId="0" borderId="10" xfId="1" applyNumberFormat="1" applyFont="1" applyBorder="1"/>
    <xf numFmtId="0" fontId="14" fillId="10" borderId="16" xfId="0" applyFont="1" applyFill="1" applyBorder="1" applyAlignment="1">
      <alignment horizontal="center" vertical="center"/>
    </xf>
    <xf numFmtId="0" fontId="4" fillId="10" borderId="16" xfId="0" applyFont="1" applyFill="1" applyBorder="1" applyAlignment="1">
      <alignment horizontal="center" vertical="center"/>
    </xf>
    <xf numFmtId="0" fontId="21" fillId="9" borderId="0" xfId="0" applyFont="1" applyFill="1"/>
    <xf numFmtId="166" fontId="10" fillId="9" borderId="0" xfId="1" applyNumberFormat="1" applyFont="1" applyFill="1"/>
    <xf numFmtId="166" fontId="0" fillId="9" borderId="16" xfId="0" applyNumberFormat="1" applyFill="1" applyBorder="1"/>
    <xf numFmtId="0" fontId="0" fillId="14" borderId="9" xfId="0" applyFill="1" applyBorder="1"/>
    <xf numFmtId="0" fontId="5" fillId="9" borderId="9" xfId="0" applyFont="1" applyFill="1" applyBorder="1"/>
    <xf numFmtId="10" fontId="0" fillId="14" borderId="9" xfId="0" applyNumberFormat="1" applyFill="1" applyBorder="1"/>
    <xf numFmtId="0" fontId="4" fillId="10" borderId="9" xfId="0" applyFont="1" applyFill="1" applyBorder="1" applyAlignment="1">
      <alignment horizontal="center" vertical="center" wrapText="1"/>
    </xf>
    <xf numFmtId="0" fontId="32" fillId="9" borderId="0" xfId="3" applyFont="1" applyFill="1"/>
    <xf numFmtId="43" fontId="0" fillId="9" borderId="9" xfId="1" applyFont="1" applyFill="1" applyBorder="1"/>
    <xf numFmtId="178" fontId="0" fillId="9" borderId="9" xfId="1" applyNumberFormat="1" applyFont="1" applyFill="1" applyBorder="1"/>
    <xf numFmtId="179" fontId="0" fillId="9" borderId="9" xfId="0" applyNumberFormat="1" applyFill="1" applyBorder="1"/>
    <xf numFmtId="178" fontId="0" fillId="9" borderId="9" xfId="0" applyNumberFormat="1" applyFill="1" applyBorder="1"/>
    <xf numFmtId="176" fontId="0" fillId="9" borderId="9" xfId="1" applyNumberFormat="1" applyFont="1" applyFill="1" applyBorder="1"/>
    <xf numFmtId="180" fontId="0" fillId="9" borderId="9" xfId="1" applyNumberFormat="1" applyFont="1" applyFill="1" applyBorder="1"/>
    <xf numFmtId="180" fontId="0" fillId="9" borderId="12" xfId="1" applyNumberFormat="1" applyFont="1" applyFill="1" applyBorder="1"/>
    <xf numFmtId="181" fontId="0" fillId="9" borderId="9" xfId="0" applyNumberFormat="1" applyFill="1" applyBorder="1"/>
    <xf numFmtId="166" fontId="0" fillId="10" borderId="0" xfId="1" applyNumberFormat="1" applyFont="1" applyFill="1"/>
    <xf numFmtId="167" fontId="20" fillId="2" borderId="9" xfId="0" applyNumberFormat="1" applyFont="1" applyFill="1" applyBorder="1" applyAlignment="1">
      <alignment horizontal="right" vertical="center" wrapText="1" readingOrder="1"/>
    </xf>
    <xf numFmtId="10" fontId="20" fillId="2" borderId="9" xfId="0" applyNumberFormat="1" applyFont="1" applyFill="1" applyBorder="1" applyAlignment="1">
      <alignment horizontal="right" vertical="center" wrapText="1" readingOrder="1"/>
    </xf>
    <xf numFmtId="0" fontId="14" fillId="10" borderId="16" xfId="0" applyFont="1" applyFill="1" applyBorder="1" applyAlignment="1">
      <alignment horizontal="center"/>
    </xf>
    <xf numFmtId="166" fontId="0" fillId="9" borderId="8" xfId="1" applyNumberFormat="1" applyFont="1" applyFill="1" applyBorder="1"/>
    <xf numFmtId="166" fontId="0" fillId="9" borderId="12" xfId="1" applyNumberFormat="1" applyFont="1" applyFill="1" applyBorder="1"/>
    <xf numFmtId="2" fontId="0" fillId="9" borderId="9" xfId="2" applyNumberFormat="1" applyFont="1" applyFill="1" applyBorder="1"/>
    <xf numFmtId="0" fontId="0" fillId="15" borderId="9" xfId="0" applyFill="1" applyBorder="1"/>
    <xf numFmtId="0" fontId="4" fillId="0" borderId="0" xfId="0" applyFont="1" applyAlignment="1">
      <alignment horizontal="center"/>
    </xf>
    <xf numFmtId="2" fontId="0" fillId="0" borderId="9" xfId="2" applyNumberFormat="1" applyFont="1" applyFill="1" applyBorder="1"/>
    <xf numFmtId="174" fontId="20" fillId="2" borderId="9" xfId="2" applyNumberFormat="1" applyFont="1" applyFill="1" applyBorder="1" applyAlignment="1">
      <alignment horizontal="right" vertical="center" wrapText="1" readingOrder="1"/>
    </xf>
    <xf numFmtId="167" fontId="0" fillId="14" borderId="9" xfId="0" applyNumberFormat="1" applyFill="1" applyBorder="1"/>
    <xf numFmtId="182" fontId="0" fillId="9" borderId="9" xfId="2" applyNumberFormat="1" applyFont="1" applyFill="1" applyBorder="1"/>
    <xf numFmtId="10" fontId="0" fillId="0" borderId="0" xfId="0" applyNumberFormat="1"/>
    <xf numFmtId="0" fontId="6" fillId="9" borderId="0" xfId="3" applyFill="1" applyBorder="1" applyAlignment="1">
      <alignment horizontal="left" wrapText="1"/>
    </xf>
    <xf numFmtId="2" fontId="5" fillId="3" borderId="9" xfId="0" applyNumberFormat="1" applyFont="1" applyFill="1" applyBorder="1" applyAlignment="1">
      <alignment horizontal="center"/>
    </xf>
    <xf numFmtId="2" fontId="5" fillId="12" borderId="9" xfId="0" applyNumberFormat="1" applyFont="1" applyFill="1" applyBorder="1" applyAlignment="1">
      <alignment horizontal="center"/>
    </xf>
    <xf numFmtId="0" fontId="4" fillId="12" borderId="1" xfId="0" applyFont="1" applyFill="1" applyBorder="1" applyAlignment="1">
      <alignment horizontal="center"/>
    </xf>
    <xf numFmtId="0" fontId="4" fillId="12" borderId="2" xfId="0" applyFont="1" applyFill="1" applyBorder="1" applyAlignment="1">
      <alignment horizontal="center"/>
    </xf>
    <xf numFmtId="0" fontId="4" fillId="12" borderId="3" xfId="0" applyFont="1" applyFill="1" applyBorder="1" applyAlignment="1">
      <alignment horizontal="center"/>
    </xf>
    <xf numFmtId="2" fontId="5" fillId="11" borderId="9" xfId="0" applyNumberFormat="1" applyFont="1" applyFill="1" applyBorder="1" applyAlignment="1">
      <alignment horizontal="center"/>
    </xf>
    <xf numFmtId="0" fontId="4" fillId="11" borderId="1" xfId="0" applyFont="1" applyFill="1" applyBorder="1" applyAlignment="1">
      <alignment horizontal="center"/>
    </xf>
    <xf numFmtId="0" fontId="4" fillId="11" borderId="2" xfId="0" applyFont="1" applyFill="1" applyBorder="1" applyAlignment="1">
      <alignment horizontal="center"/>
    </xf>
    <xf numFmtId="0" fontId="4" fillId="11" borderId="3" xfId="0" applyFont="1" applyFill="1" applyBorder="1" applyAlignment="1">
      <alignment horizontal="center"/>
    </xf>
    <xf numFmtId="0" fontId="0" fillId="9" borderId="9" xfId="0" applyFill="1" applyBorder="1" applyAlignment="1">
      <alignment horizontal="center"/>
    </xf>
    <xf numFmtId="0" fontId="0" fillId="9" borderId="16" xfId="0" applyFill="1" applyBorder="1" applyAlignment="1">
      <alignment horizontal="center"/>
    </xf>
    <xf numFmtId="0" fontId="0" fillId="9" borderId="13" xfId="0" applyFill="1" applyBorder="1" applyAlignment="1">
      <alignment horizontal="center"/>
    </xf>
    <xf numFmtId="0" fontId="0" fillId="9" borderId="10" xfId="0" applyFill="1" applyBorder="1" applyAlignment="1">
      <alignment horizontal="center"/>
    </xf>
    <xf numFmtId="0" fontId="6" fillId="9" borderId="4" xfId="3" applyFill="1" applyBorder="1" applyAlignment="1">
      <alignment horizontal="left" wrapText="1"/>
    </xf>
    <xf numFmtId="0" fontId="6" fillId="9" borderId="5" xfId="3" applyFill="1" applyBorder="1" applyAlignment="1">
      <alignment horizontal="left"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0" fillId="9" borderId="1" xfId="0" applyFill="1" applyBorder="1" applyAlignment="1">
      <alignment horizontal="left" vertical="center"/>
    </xf>
    <xf numFmtId="0" fontId="0" fillId="9" borderId="6" xfId="0" applyFill="1" applyBorder="1" applyAlignment="1">
      <alignment horizontal="left" vertical="center"/>
    </xf>
    <xf numFmtId="0" fontId="0" fillId="9" borderId="4" xfId="0" applyFill="1" applyBorder="1" applyAlignment="1">
      <alignment horizontal="left" vertical="center"/>
    </xf>
  </cellXfs>
  <cellStyles count="16">
    <cellStyle name="Column label" xfId="13" xr:uid="{5B5D4623-5245-423D-9593-D11C164266A1}"/>
    <cellStyle name="Comma" xfId="1" builtinId="3"/>
    <cellStyle name="Comma 2" xfId="15" xr:uid="{C93EB31F-55FB-4010-BF21-96B90D598995}"/>
    <cellStyle name="Currency 13" xfId="14" xr:uid="{2B58E04B-CACB-4918-8E60-7B25C4AB36EC}"/>
    <cellStyle name="Currency 8" xfId="7" xr:uid="{9566A33F-956C-4D8B-AE5E-A9B6B1021769}"/>
    <cellStyle name="D" xfId="4" xr:uid="{933906A3-2C20-41C9-8980-42CDF9F213E3}"/>
    <cellStyle name="H2" xfId="12" xr:uid="{D95B1B5E-BB86-451B-96DF-F21544C238A4}"/>
    <cellStyle name="Highlight" xfId="8" xr:uid="{DBF9C6FE-2947-4DF4-9CF8-799342CC1103}"/>
    <cellStyle name="Hyperlink" xfId="3" builtinId="8"/>
    <cellStyle name="Input calculation" xfId="9" xr:uid="{70565FA5-309D-4BC2-A959-133E2479D50D}"/>
    <cellStyle name="Input data" xfId="6" xr:uid="{49363687-6847-48B6-8061-47D11000C5AD}"/>
    <cellStyle name="Input estimate" xfId="10" xr:uid="{10D5D767-247E-4350-B24D-829B2B738935}"/>
    <cellStyle name="Input link" xfId="5" xr:uid="{F031ADD7-9BB8-4993-A74A-2FC3EC9831DB}"/>
    <cellStyle name="Input link (different workbook)" xfId="11" xr:uid="{4C04A368-BEA3-4C34-9572-79C4B78C8941}"/>
    <cellStyle name="Normal" xfId="0" builtinId="0"/>
    <cellStyle name="Percent" xfId="2" builtinId="5"/>
  </cellStyles>
  <dxfs count="1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431800</xdr:colOff>
      <xdr:row>0</xdr:row>
      <xdr:rowOff>84667</xdr:rowOff>
    </xdr:from>
    <xdr:to>
      <xdr:col>0</xdr:col>
      <xdr:colOff>2493645</xdr:colOff>
      <xdr:row>4</xdr:row>
      <xdr:rowOff>932</xdr:rowOff>
    </xdr:to>
    <xdr:pic>
      <xdr:nvPicPr>
        <xdr:cNvPr id="3" name="Picture 2">
          <a:extLst>
            <a:ext uri="{FF2B5EF4-FFF2-40B4-BE49-F238E27FC236}">
              <a16:creationId xmlns:a16="http://schemas.microsoft.com/office/drawing/2014/main" id="{5E4D40FF-CFEA-487E-B75A-7A1E2BC147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 y="84667"/>
          <a:ext cx="2069465" cy="656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638176</xdr:colOff>
      <xdr:row>2</xdr:row>
      <xdr:rowOff>38100</xdr:rowOff>
    </xdr:from>
    <xdr:to>
      <xdr:col>1</xdr:col>
      <xdr:colOff>761548</xdr:colOff>
      <xdr:row>6</xdr:row>
      <xdr:rowOff>181120</xdr:rowOff>
    </xdr:to>
    <xdr:sp macro="" textlink="">
      <xdr:nvSpPr>
        <xdr:cNvPr id="24" name="Rectangle 23">
          <a:extLst>
            <a:ext uri="{FF2B5EF4-FFF2-40B4-BE49-F238E27FC236}">
              <a16:creationId xmlns:a16="http://schemas.microsoft.com/office/drawing/2014/main" id="{D27A50E3-C89C-A6CB-9A2B-670397E1C0B6}"/>
            </a:ext>
          </a:extLst>
        </xdr:cNvPr>
        <xdr:cNvSpPr/>
      </xdr:nvSpPr>
      <xdr:spPr>
        <a:xfrm>
          <a:off x="638176" y="466725"/>
          <a:ext cx="1171122" cy="905020"/>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en-ZA" sz="1000"/>
            <a:t>1 Traffic volumes (fixed voice</a:t>
          </a:r>
          <a:r>
            <a:rPr lang="en-ZA" sz="1000" baseline="0"/>
            <a:t>)</a:t>
          </a:r>
          <a:endParaRPr lang="en-ZA" sz="1000"/>
        </a:p>
      </xdr:txBody>
    </xdr:sp>
    <xdr:clientData/>
  </xdr:twoCellAnchor>
  <xdr:twoCellAnchor>
    <xdr:from>
      <xdr:col>2</xdr:col>
      <xdr:colOff>219074</xdr:colOff>
      <xdr:row>2</xdr:row>
      <xdr:rowOff>34925</xdr:rowOff>
    </xdr:from>
    <xdr:to>
      <xdr:col>3</xdr:col>
      <xdr:colOff>643022</xdr:colOff>
      <xdr:row>6</xdr:row>
      <xdr:rowOff>152400</xdr:rowOff>
    </xdr:to>
    <xdr:sp macro="" textlink="">
      <xdr:nvSpPr>
        <xdr:cNvPr id="26" name="Rectangle 25">
          <a:extLst>
            <a:ext uri="{FF2B5EF4-FFF2-40B4-BE49-F238E27FC236}">
              <a16:creationId xmlns:a16="http://schemas.microsoft.com/office/drawing/2014/main" id="{0A09B715-4CAE-1466-1E0E-6046BCF29077}"/>
            </a:ext>
          </a:extLst>
        </xdr:cNvPr>
        <xdr:cNvSpPr/>
      </xdr:nvSpPr>
      <xdr:spPr>
        <a:xfrm>
          <a:off x="2314574" y="463550"/>
          <a:ext cx="1471698" cy="879475"/>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en-ZA" sz="1000"/>
            <a:t>2 Convert all traffic types to various dimensions needed</a:t>
          </a:r>
          <a:r>
            <a:rPr lang="en-ZA" sz="1000" baseline="0"/>
            <a:t> for network element demand</a:t>
          </a:r>
          <a:r>
            <a:rPr lang="en-ZA" sz="1000"/>
            <a:t> </a:t>
          </a:r>
        </a:p>
      </xdr:txBody>
    </xdr:sp>
    <xdr:clientData/>
  </xdr:twoCellAnchor>
  <xdr:twoCellAnchor>
    <xdr:from>
      <xdr:col>1</xdr:col>
      <xdr:colOff>761548</xdr:colOff>
      <xdr:row>4</xdr:row>
      <xdr:rowOff>93663</xdr:rowOff>
    </xdr:from>
    <xdr:to>
      <xdr:col>2</xdr:col>
      <xdr:colOff>219074</xdr:colOff>
      <xdr:row>4</xdr:row>
      <xdr:rowOff>109610</xdr:rowOff>
    </xdr:to>
    <xdr:cxnSp macro="">
      <xdr:nvCxnSpPr>
        <xdr:cNvPr id="27" name="Straight Arrow Connector 26">
          <a:extLst>
            <a:ext uri="{FF2B5EF4-FFF2-40B4-BE49-F238E27FC236}">
              <a16:creationId xmlns:a16="http://schemas.microsoft.com/office/drawing/2014/main" id="{A9D15B73-F085-497A-3AD4-E5998221B5CF}"/>
            </a:ext>
          </a:extLst>
        </xdr:cNvPr>
        <xdr:cNvCxnSpPr>
          <a:stCxn id="24" idx="3"/>
          <a:endCxn id="26" idx="1"/>
        </xdr:cNvCxnSpPr>
      </xdr:nvCxnSpPr>
      <xdr:spPr>
        <a:xfrm flipV="1">
          <a:off x="1809298" y="903288"/>
          <a:ext cx="505276" cy="1594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238126</xdr:colOff>
      <xdr:row>8</xdr:row>
      <xdr:rowOff>95249</xdr:rowOff>
    </xdr:from>
    <xdr:to>
      <xdr:col>3</xdr:col>
      <xdr:colOff>645860</xdr:colOff>
      <xdr:row>14</xdr:row>
      <xdr:rowOff>0</xdr:rowOff>
    </xdr:to>
    <xdr:sp macro="" textlink="">
      <xdr:nvSpPr>
        <xdr:cNvPr id="28" name="Rectangle 27">
          <a:extLst>
            <a:ext uri="{FF2B5EF4-FFF2-40B4-BE49-F238E27FC236}">
              <a16:creationId xmlns:a16="http://schemas.microsoft.com/office/drawing/2014/main" id="{E946CFE3-5A6A-B75A-44E3-DE89B9FCBF01}"/>
            </a:ext>
          </a:extLst>
        </xdr:cNvPr>
        <xdr:cNvSpPr/>
      </xdr:nvSpPr>
      <xdr:spPr>
        <a:xfrm>
          <a:off x="2333626" y="1666874"/>
          <a:ext cx="1455484" cy="1047751"/>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en-ZA" sz="1000"/>
            <a:t>3 Compute network element demand </a:t>
          </a:r>
        </a:p>
      </xdr:txBody>
    </xdr:sp>
    <xdr:clientData/>
  </xdr:twoCellAnchor>
  <xdr:twoCellAnchor>
    <xdr:from>
      <xdr:col>2</xdr:col>
      <xdr:colOff>954923</xdr:colOff>
      <xdr:row>6</xdr:row>
      <xdr:rowOff>152400</xdr:rowOff>
    </xdr:from>
    <xdr:to>
      <xdr:col>2</xdr:col>
      <xdr:colOff>965868</xdr:colOff>
      <xdr:row>8</xdr:row>
      <xdr:rowOff>95249</xdr:rowOff>
    </xdr:to>
    <xdr:cxnSp macro="">
      <xdr:nvCxnSpPr>
        <xdr:cNvPr id="29" name="Straight Arrow Connector 28">
          <a:extLst>
            <a:ext uri="{FF2B5EF4-FFF2-40B4-BE49-F238E27FC236}">
              <a16:creationId xmlns:a16="http://schemas.microsoft.com/office/drawing/2014/main" id="{361178F6-1154-771A-DD84-0717160AB58A}"/>
            </a:ext>
          </a:extLst>
        </xdr:cNvPr>
        <xdr:cNvCxnSpPr>
          <a:stCxn id="26" idx="2"/>
          <a:endCxn id="28" idx="0"/>
        </xdr:cNvCxnSpPr>
      </xdr:nvCxnSpPr>
      <xdr:spPr>
        <a:xfrm>
          <a:off x="3050423" y="1343025"/>
          <a:ext cx="10945" cy="3238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645860</xdr:colOff>
      <xdr:row>11</xdr:row>
      <xdr:rowOff>47625</xdr:rowOff>
    </xdr:from>
    <xdr:to>
      <xdr:col>4</xdr:col>
      <xdr:colOff>676275</xdr:colOff>
      <xdr:row>11</xdr:row>
      <xdr:rowOff>122020</xdr:rowOff>
    </xdr:to>
    <xdr:cxnSp macro="">
      <xdr:nvCxnSpPr>
        <xdr:cNvPr id="31" name="Straight Arrow Connector 30">
          <a:extLst>
            <a:ext uri="{FF2B5EF4-FFF2-40B4-BE49-F238E27FC236}">
              <a16:creationId xmlns:a16="http://schemas.microsoft.com/office/drawing/2014/main" id="{9586AC1C-F5D6-D56B-3CD3-D2830943FB3D}"/>
            </a:ext>
          </a:extLst>
        </xdr:cNvPr>
        <xdr:cNvCxnSpPr>
          <a:stCxn id="28" idx="3"/>
          <a:endCxn id="32" idx="1"/>
        </xdr:cNvCxnSpPr>
      </xdr:nvCxnSpPr>
      <xdr:spPr>
        <a:xfrm>
          <a:off x="3789110" y="2190750"/>
          <a:ext cx="1078165" cy="743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676275</xdr:colOff>
      <xdr:row>9</xdr:row>
      <xdr:rowOff>101600</xdr:rowOff>
    </xdr:from>
    <xdr:to>
      <xdr:col>5</xdr:col>
      <xdr:colOff>923120</xdr:colOff>
      <xdr:row>13</xdr:row>
      <xdr:rowOff>142440</xdr:rowOff>
    </xdr:to>
    <xdr:sp macro="" textlink="">
      <xdr:nvSpPr>
        <xdr:cNvPr id="32" name="Rectangle 31">
          <a:extLst>
            <a:ext uri="{FF2B5EF4-FFF2-40B4-BE49-F238E27FC236}">
              <a16:creationId xmlns:a16="http://schemas.microsoft.com/office/drawing/2014/main" id="{7222EBC5-93EB-7DC9-5A37-5F981BCDAE39}"/>
            </a:ext>
          </a:extLst>
        </xdr:cNvPr>
        <xdr:cNvSpPr/>
      </xdr:nvSpPr>
      <xdr:spPr>
        <a:xfrm>
          <a:off x="4867275" y="1863725"/>
          <a:ext cx="1294595" cy="802840"/>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en-ZA" sz="1000"/>
            <a:t>4, 5 Obtain capital</a:t>
          </a:r>
          <a:r>
            <a:rPr lang="en-ZA" sz="1000" baseline="0"/>
            <a:t> expenditure and operating costs for network elements</a:t>
          </a:r>
          <a:endParaRPr lang="en-ZA" sz="1000"/>
        </a:p>
      </xdr:txBody>
    </xdr:sp>
    <xdr:clientData/>
  </xdr:twoCellAnchor>
  <xdr:twoCellAnchor>
    <xdr:from>
      <xdr:col>6</xdr:col>
      <xdr:colOff>361951</xdr:colOff>
      <xdr:row>13</xdr:row>
      <xdr:rowOff>6349</xdr:rowOff>
    </xdr:from>
    <xdr:to>
      <xdr:col>7</xdr:col>
      <xdr:colOff>495301</xdr:colOff>
      <xdr:row>17</xdr:row>
      <xdr:rowOff>134772</xdr:rowOff>
    </xdr:to>
    <xdr:sp macro="" textlink="">
      <xdr:nvSpPr>
        <xdr:cNvPr id="40" name="Rectangle 39">
          <a:extLst>
            <a:ext uri="{FF2B5EF4-FFF2-40B4-BE49-F238E27FC236}">
              <a16:creationId xmlns:a16="http://schemas.microsoft.com/office/drawing/2014/main" id="{45634776-04E9-CFA1-4266-A7F12A67118F}"/>
            </a:ext>
          </a:extLst>
        </xdr:cNvPr>
        <xdr:cNvSpPr/>
      </xdr:nvSpPr>
      <xdr:spPr>
        <a:xfrm>
          <a:off x="6648451" y="2530474"/>
          <a:ext cx="1181100" cy="890423"/>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en-ZA" sz="1000"/>
            <a:t>6 Extract costs</a:t>
          </a:r>
          <a:r>
            <a:rPr lang="en-ZA" sz="1000" baseline="0"/>
            <a:t> of network elements used only for incremental voice traffic</a:t>
          </a:r>
          <a:endParaRPr lang="en-ZA" sz="1000"/>
        </a:p>
      </xdr:txBody>
    </xdr:sp>
    <xdr:clientData/>
  </xdr:twoCellAnchor>
  <xdr:twoCellAnchor>
    <xdr:from>
      <xdr:col>5</xdr:col>
      <xdr:colOff>923120</xdr:colOff>
      <xdr:row>11</xdr:row>
      <xdr:rowOff>122020</xdr:rowOff>
    </xdr:from>
    <xdr:to>
      <xdr:col>6</xdr:col>
      <xdr:colOff>361951</xdr:colOff>
      <xdr:row>15</xdr:row>
      <xdr:rowOff>70561</xdr:rowOff>
    </xdr:to>
    <xdr:cxnSp macro="">
      <xdr:nvCxnSpPr>
        <xdr:cNvPr id="41" name="Straight Arrow Connector 40">
          <a:extLst>
            <a:ext uri="{FF2B5EF4-FFF2-40B4-BE49-F238E27FC236}">
              <a16:creationId xmlns:a16="http://schemas.microsoft.com/office/drawing/2014/main" id="{82ACFF68-CDA2-45BA-8C42-CAF19D22414C}"/>
            </a:ext>
          </a:extLst>
        </xdr:cNvPr>
        <xdr:cNvCxnSpPr>
          <a:stCxn id="32" idx="3"/>
          <a:endCxn id="40" idx="1"/>
        </xdr:cNvCxnSpPr>
      </xdr:nvCxnSpPr>
      <xdr:spPr>
        <a:xfrm>
          <a:off x="6161870" y="2265145"/>
          <a:ext cx="486581" cy="7105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638175</xdr:colOff>
      <xdr:row>4</xdr:row>
      <xdr:rowOff>109610</xdr:rowOff>
    </xdr:from>
    <xdr:to>
      <xdr:col>6</xdr:col>
      <xdr:colOff>952500</xdr:colOff>
      <xdr:row>17</xdr:row>
      <xdr:rowOff>134772</xdr:rowOff>
    </xdr:to>
    <xdr:cxnSp macro="">
      <xdr:nvCxnSpPr>
        <xdr:cNvPr id="44" name="Connector: Elbow 43">
          <a:extLst>
            <a:ext uri="{FF2B5EF4-FFF2-40B4-BE49-F238E27FC236}">
              <a16:creationId xmlns:a16="http://schemas.microsoft.com/office/drawing/2014/main" id="{B8E268AA-1A8A-A910-0447-943C91256A72}"/>
            </a:ext>
          </a:extLst>
        </xdr:cNvPr>
        <xdr:cNvCxnSpPr>
          <a:cxnSpLocks/>
          <a:stCxn id="24" idx="1"/>
          <a:endCxn id="40" idx="2"/>
        </xdr:cNvCxnSpPr>
      </xdr:nvCxnSpPr>
      <xdr:spPr>
        <a:xfrm rot="10800000" flipH="1" flipV="1">
          <a:off x="638175" y="919235"/>
          <a:ext cx="6600825" cy="2501662"/>
        </a:xfrm>
        <a:prstGeom prst="bentConnector4">
          <a:avLst>
            <a:gd name="adj1" fmla="val -3463"/>
            <a:gd name="adj2" fmla="val 10913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caciaecon.sharepoint.com/sites/ICASAMTR/Shared%20Documents/General/Cost%20models/BU%20mobile%20cost%20model%20v6.1.xlsx" TargetMode="External"/><Relationship Id="rId1" Type="http://schemas.openxmlformats.org/officeDocument/2006/relationships/externalLinkPath" Target="BU%20mobile%20cost%20model%20v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Plan"/>
      <sheetName val="Scenarios, lists"/>
      <sheetName val="1 Volumes"/>
      <sheetName val="2a Network parameters"/>
      <sheetName val="2b Routing factors"/>
      <sheetName val="3a Demand-Mbps, Erlang"/>
      <sheetName val="3b Output-Mbps"/>
      <sheetName val="4a Network-sites, RAN"/>
      <sheetName val="4b Network-backhaul"/>
      <sheetName val="4c Network- BSC, RNC, links"/>
      <sheetName val="4d Network- core"/>
      <sheetName val="5 Cost results"/>
      <sheetName val="Calibration&gt;&gt;&gt;&gt;"/>
      <sheetName val="Network inventory"/>
      <sheetName val="LRIC revenues, costs"/>
      <sheetName val="Baseline opex, capex"/>
      <sheetName val="RAN Sites ED &gt;&gt;&gt;&gt;"/>
      <sheetName val="Tower_exclusive"/>
      <sheetName val="Tower_shared"/>
      <sheetName val="Rooftop"/>
      <sheetName val="In_building_solution"/>
      <sheetName val="Microsite"/>
      <sheetName val="Lampost_billboard"/>
      <sheetName val="RAN equipment ED &gt;&gt;&gt;&gt;"/>
      <sheetName val="Macrocell_base"/>
      <sheetName val="Macrocell_spectrum_bands"/>
      <sheetName val="Macrocell_2G"/>
      <sheetName val="Macrocell_3G"/>
      <sheetName val="Macrocell_4G"/>
      <sheetName val="Microcell_base"/>
      <sheetName val="Microcell_spectrum_bands"/>
      <sheetName val="Inbuilding_cells_base"/>
      <sheetName val="Inbuilding_cells_spectrum_bands"/>
      <sheetName val="Controllers ED &gt;&gt;&gt;&gt;"/>
      <sheetName val="BSC"/>
      <sheetName val="RNC"/>
      <sheetName val="Overheads ED &gt;&gt;&gt;"/>
      <sheetName val="Core_network_sites"/>
      <sheetName val="Wholesale_billing_system"/>
      <sheetName val="Network_management_system"/>
      <sheetName val="Backhaul ED &gt;&gt;&gt;&gt;"/>
      <sheetName val="Backhaul_leased_line_2Mbps"/>
      <sheetName val="Backhaul_leased_line_30Mbps"/>
      <sheetName val="Backhaul_leased_line_100Mbps"/>
      <sheetName val="Backhaul_leased_line_500Mbps"/>
      <sheetName val="Backhaul_microwave_link_2Mbps"/>
      <sheetName val="Backhaul_microwave_link_30Mbps"/>
      <sheetName val="Backhaul_microwave_link_100Mbps"/>
      <sheetName val="Placeholder1"/>
      <sheetName val="Transmission ED &gt;&gt;&gt;&gt;"/>
      <sheetName val="Leased_capacity_500Mbps"/>
      <sheetName val="Leased_capacity_10Gbps"/>
      <sheetName val="Core_leased_capacity_10Gbps"/>
      <sheetName val="Core ED &gt;&gt;&gt;&gt;"/>
      <sheetName val="Core_MGW"/>
      <sheetName val="Core_SGSN"/>
      <sheetName val="Core_SBC"/>
      <sheetName val="Core_HLR"/>
      <sheetName val="Core_MSCS"/>
      <sheetName val="Core_GGSN"/>
      <sheetName val="Core_IMS"/>
      <sheetName val="Core_MME"/>
      <sheetName val="Core_SGW"/>
      <sheetName val="Core_PGW"/>
      <sheetName val="Core_HSS"/>
      <sheetName val="Core_PCRF"/>
      <sheetName val="Spectrum ED &gt;&gt;&gt;&gt;"/>
      <sheetName val="Spectrum_auction"/>
      <sheetName val="Spectrum_annual"/>
      <sheetName val="Spectrum_microwave"/>
      <sheetName val="Additional inputs &gt;&gt;&gt;&gt;"/>
      <sheetName val="ErlangB"/>
      <sheetName val="Macroeconomic data"/>
      <sheetName val="SA geography"/>
      <sheetName val="State of ICT sector"/>
      <sheetName val="WACC, exchange rates"/>
      <sheetName val="Operator data &gt;&gt;&gt;&gt;&gt;&gt;"/>
      <sheetName val="Operator - Confidential"/>
    </sheetNames>
    <definedNames>
      <definedName name="successful_calls" refersTo="='2a Network parameters'!$J$578:$J$592"/>
    </definedNames>
    <sheetDataSet>
      <sheetData sheetId="0"/>
      <sheetData sheetId="1"/>
      <sheetData sheetId="2"/>
      <sheetData sheetId="3"/>
      <sheetData sheetId="4">
        <row r="578">
          <cell r="J578">
            <v>0.94609999999999994</v>
          </cell>
        </row>
        <row r="579">
          <cell r="J579">
            <v>0.97076666666666667</v>
          </cell>
        </row>
        <row r="580">
          <cell r="J580">
            <v>0.95426666666666671</v>
          </cell>
        </row>
        <row r="583">
          <cell r="J583">
            <v>0.95960000000000001</v>
          </cell>
        </row>
        <row r="584">
          <cell r="J584">
            <v>0.97076666666666667</v>
          </cell>
        </row>
        <row r="585">
          <cell r="J585">
            <v>0.96183333333333332</v>
          </cell>
        </row>
        <row r="588">
          <cell r="J588">
            <v>0.95960000000000001</v>
          </cell>
        </row>
        <row r="589">
          <cell r="J589">
            <v>0.97076666666666667</v>
          </cell>
        </row>
        <row r="590">
          <cell r="J590">
            <v>0.96183333333333332</v>
          </cell>
        </row>
      </sheetData>
      <sheetData sheetId="5"/>
      <sheetData sheetId="6"/>
      <sheetData sheetId="7"/>
      <sheetData sheetId="8">
        <row r="578">
          <cell r="J578">
            <v>31.074600000000004</v>
          </cell>
        </row>
        <row r="579">
          <cell r="J579">
            <v>31.074600000000004</v>
          </cell>
        </row>
        <row r="580">
          <cell r="J580">
            <v>31.074600000000004</v>
          </cell>
        </row>
        <row r="581">
          <cell r="J581">
            <v>78.367346938775498</v>
          </cell>
        </row>
        <row r="582">
          <cell r="J582">
            <v>78.367346938775498</v>
          </cell>
        </row>
        <row r="583">
          <cell r="J583">
            <v>78.367346938775498</v>
          </cell>
        </row>
        <row r="584">
          <cell r="J584">
            <v>78.367346938775498</v>
          </cell>
        </row>
        <row r="585">
          <cell r="J585">
            <v>1.05</v>
          </cell>
        </row>
        <row r="586">
          <cell r="J586">
            <v>1.05</v>
          </cell>
        </row>
        <row r="587">
          <cell r="J587">
            <v>1.05</v>
          </cell>
        </row>
        <row r="588">
          <cell r="J588">
            <v>1.05</v>
          </cell>
        </row>
        <row r="591">
          <cell r="J591">
            <v>2021</v>
          </cell>
        </row>
        <row r="592">
          <cell r="J592">
            <v>5.6904000000000003</v>
          </cell>
        </row>
      </sheetData>
      <sheetData sheetId="9">
        <row r="578">
          <cell r="J578">
            <v>0</v>
          </cell>
        </row>
        <row r="579">
          <cell r="J579">
            <v>0</v>
          </cell>
        </row>
        <row r="580">
          <cell r="J580">
            <v>0</v>
          </cell>
        </row>
        <row r="581">
          <cell r="J581">
            <v>0</v>
          </cell>
        </row>
        <row r="582">
          <cell r="J582">
            <v>0</v>
          </cell>
        </row>
        <row r="583">
          <cell r="J583">
            <v>0</v>
          </cell>
        </row>
        <row r="584">
          <cell r="J584">
            <v>0</v>
          </cell>
        </row>
        <row r="585">
          <cell r="J585">
            <v>0</v>
          </cell>
        </row>
        <row r="586">
          <cell r="J586">
            <v>0</v>
          </cell>
        </row>
        <row r="587">
          <cell r="J587">
            <v>0</v>
          </cell>
        </row>
        <row r="588">
          <cell r="J588">
            <v>0</v>
          </cell>
        </row>
        <row r="589">
          <cell r="J589">
            <v>0</v>
          </cell>
        </row>
        <row r="590">
          <cell r="J590">
            <v>0</v>
          </cell>
        </row>
        <row r="591">
          <cell r="J591">
            <v>0</v>
          </cell>
        </row>
        <row r="592">
          <cell r="J592">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578">
          <cell r="J578">
            <v>95.24</v>
          </cell>
        </row>
        <row r="579">
          <cell r="J579">
            <v>95.24</v>
          </cell>
        </row>
        <row r="580">
          <cell r="J580">
            <v>95.24</v>
          </cell>
        </row>
        <row r="581">
          <cell r="J581">
            <v>95.24</v>
          </cell>
        </row>
        <row r="582">
          <cell r="J582">
            <v>95.24</v>
          </cell>
        </row>
        <row r="583">
          <cell r="J583">
            <v>95.24</v>
          </cell>
        </row>
        <row r="584">
          <cell r="J584">
            <v>95.24</v>
          </cell>
        </row>
        <row r="585">
          <cell r="J585">
            <v>95.24</v>
          </cell>
        </row>
        <row r="586">
          <cell r="J586">
            <v>95.24</v>
          </cell>
        </row>
        <row r="587">
          <cell r="J587">
            <v>95.24</v>
          </cell>
        </row>
        <row r="588">
          <cell r="J588">
            <v>95.24</v>
          </cell>
        </row>
        <row r="589">
          <cell r="J589">
            <v>95.24</v>
          </cell>
        </row>
        <row r="590">
          <cell r="J590">
            <v>95.24</v>
          </cell>
        </row>
        <row r="591">
          <cell r="J591">
            <v>95.24</v>
          </cell>
        </row>
        <row r="592">
          <cell r="J592">
            <v>95.24</v>
          </cell>
        </row>
      </sheetData>
      <sheetData sheetId="73"/>
      <sheetData sheetId="74">
        <row r="578">
          <cell r="J578">
            <v>13597.785654466399</v>
          </cell>
        </row>
        <row r="579">
          <cell r="J579">
            <v>13581.867331484733</v>
          </cell>
        </row>
        <row r="580">
          <cell r="J580">
            <v>13578.895624875202</v>
          </cell>
        </row>
        <row r="581">
          <cell r="J581">
            <v>13564.177081849575</v>
          </cell>
        </row>
        <row r="582">
          <cell r="J582">
            <v>13555.442767036473</v>
          </cell>
        </row>
        <row r="583">
          <cell r="J583">
            <v>13527.327454721106</v>
          </cell>
        </row>
        <row r="584">
          <cell r="J584">
            <v>13504.977140110301</v>
          </cell>
        </row>
        <row r="585">
          <cell r="J585">
            <v>13502.742995363067</v>
          </cell>
        </row>
        <row r="586">
          <cell r="J586">
            <v>13480.773546945426</v>
          </cell>
        </row>
        <row r="587">
          <cell r="J587">
            <v>13475.036161233682</v>
          </cell>
        </row>
        <row r="588">
          <cell r="J588">
            <v>13470.106028915201</v>
          </cell>
        </row>
        <row r="589">
          <cell r="J589">
            <v>13466.696514497016</v>
          </cell>
        </row>
        <row r="590">
          <cell r="J590">
            <v>13443.899399945461</v>
          </cell>
        </row>
        <row r="591">
          <cell r="J591">
            <v>13429.737532798083</v>
          </cell>
        </row>
        <row r="592">
          <cell r="J592">
            <v>13398.967818944007</v>
          </cell>
        </row>
      </sheetData>
      <sheetData sheetId="75"/>
      <sheetData sheetId="76"/>
      <sheetData sheetId="77"/>
      <sheetData sheetId="7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hyperlink" Target="https://datahub.itu.int/data/?id=2&amp;e=ZAF&amp;i=54" TargetMode="External"/></Relationships>
</file>

<file path=xl/worksheets/_rels/sheet19.xml.rels><?xml version="1.0" encoding="UTF-8" standalone="yes"?>
<Relationships xmlns="http://schemas.openxmlformats.org/package/2006/relationships"><Relationship Id="rId2" Type="http://schemas.openxmlformats.org/officeDocument/2006/relationships/hyperlink" Target="https://orbitax.com/taxhub/corporatetaxrates/ZA/South-Africa" TargetMode="External"/><Relationship Id="rId1" Type="http://schemas.openxmlformats.org/officeDocument/2006/relationships/hyperlink" Target="http://www.worldgovernmentbonds.com/bond-historical-data/south-africa/10-years/"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resbank,co,za/en/home/what-we-do/statistics/key-statistics/selected-historical-rates" TargetMode="External"/><Relationship Id="rId2" Type="http://schemas.openxmlformats.org/officeDocument/2006/relationships/hyperlink" Target="https://www.statssa.gov.za/publications/P0141/CPIHistory.pdf?" TargetMode="External"/><Relationship Id="rId1" Type="http://schemas.openxmlformats.org/officeDocument/2006/relationships/hyperlink" Target="https://www.resbank.co.za/en/home/what-we-do/statistics/key-statistics/current-market-rates" TargetMode="External"/><Relationship Id="rId5" Type="http://schemas.openxmlformats.org/officeDocument/2006/relationships/hyperlink" Target="https://www.resbank.co.za/content/dam/sarb/publications/statements/monetary-policy-statements/2023/september/Forecast%20September%202023.pdf" TargetMode="External"/><Relationship Id="rId4" Type="http://schemas.openxmlformats.org/officeDocument/2006/relationships/hyperlink" Target="https://www.investec.com/content/dam/south-africa/content-hub/annabel-bishop/rand-note/Rand-note-9-Oct-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23F90-B105-4507-91AC-9BDBDE44079E}">
  <sheetPr>
    <tabColor theme="3" tint="0.79998168889431442"/>
  </sheetPr>
  <dimension ref="A6:U32"/>
  <sheetViews>
    <sheetView tabSelected="1" topLeftCell="A15" zoomScale="90" zoomScaleNormal="90" workbookViewId="0">
      <selection activeCell="H32" sqref="H32"/>
    </sheetView>
  </sheetViews>
  <sheetFormatPr defaultColWidth="8.54296875" defaultRowHeight="14.5" x14ac:dyDescent="0.35"/>
  <cols>
    <col min="1" max="1" width="49.54296875" style="12" customWidth="1"/>
    <col min="2" max="2" width="22" style="12" customWidth="1"/>
    <col min="3" max="21" width="15.54296875" style="12" customWidth="1"/>
    <col min="22" max="16384" width="8.54296875" style="12"/>
  </cols>
  <sheetData>
    <row r="6" spans="1:5" ht="18.5" x14ac:dyDescent="0.35">
      <c r="A6" s="126" t="s">
        <v>326</v>
      </c>
      <c r="B6" s="49"/>
      <c r="C6" s="49"/>
    </row>
    <row r="8" spans="1:5" x14ac:dyDescent="0.35">
      <c r="A8" s="12" t="s">
        <v>0</v>
      </c>
      <c r="B8" s="125">
        <v>45429</v>
      </c>
    </row>
    <row r="9" spans="1:5" x14ac:dyDescent="0.35">
      <c r="A9" s="12" t="s">
        <v>1</v>
      </c>
      <c r="B9" s="12">
        <v>6</v>
      </c>
    </row>
    <row r="10" spans="1:5" x14ac:dyDescent="0.35">
      <c r="A10" s="12" t="s">
        <v>2</v>
      </c>
      <c r="B10" s="12" t="s">
        <v>3</v>
      </c>
    </row>
    <row r="12" spans="1:5" x14ac:dyDescent="0.35">
      <c r="A12" s="48" t="s">
        <v>4</v>
      </c>
      <c r="B12" s="12" t="s">
        <v>5</v>
      </c>
    </row>
    <row r="13" spans="1:5" x14ac:dyDescent="0.35">
      <c r="A13" s="21"/>
    </row>
    <row r="14" spans="1:5" x14ac:dyDescent="0.35">
      <c r="A14" s="48" t="s">
        <v>6</v>
      </c>
      <c r="B14" s="9"/>
      <c r="C14" s="12" t="s">
        <v>7</v>
      </c>
      <c r="D14"/>
      <c r="E14"/>
    </row>
    <row r="15" spans="1:5" x14ac:dyDescent="0.35">
      <c r="B15" s="15" t="s">
        <v>8</v>
      </c>
      <c r="C15" s="12" t="s">
        <v>9</v>
      </c>
    </row>
    <row r="16" spans="1:5" x14ac:dyDescent="0.35">
      <c r="B16" s="80" t="s">
        <v>10</v>
      </c>
      <c r="C16" s="12" t="s">
        <v>11</v>
      </c>
    </row>
    <row r="18" spans="1:21" x14ac:dyDescent="0.35">
      <c r="A18" s="48" t="s">
        <v>12</v>
      </c>
      <c r="B18" s="17" t="s">
        <v>13</v>
      </c>
    </row>
    <row r="19" spans="1:21" hidden="1" x14ac:dyDescent="0.35">
      <c r="A19" s="12" t="e">
        <f>'1 Volumes'!#REF!</f>
        <v>#REF!</v>
      </c>
      <c r="B19" s="40" t="str">
        <f>B18</f>
        <v>Medium growth scenario</v>
      </c>
    </row>
    <row r="20" spans="1:21" hidden="1" x14ac:dyDescent="0.35">
      <c r="A20" s="12" t="e">
        <f>'1 Volumes'!#REF!</f>
        <v>#REF!</v>
      </c>
      <c r="B20" s="17" t="str">
        <f>B18</f>
        <v>Medium growth scenario</v>
      </c>
    </row>
    <row r="22" spans="1:21" x14ac:dyDescent="0.35">
      <c r="A22" s="48" t="s">
        <v>320</v>
      </c>
      <c r="B22" s="17" t="s">
        <v>323</v>
      </c>
    </row>
    <row r="24" spans="1:21" x14ac:dyDescent="0.35">
      <c r="A24" s="48" t="s">
        <v>14</v>
      </c>
      <c r="B24" s="8">
        <v>0.5</v>
      </c>
      <c r="C24" s="15" t="s">
        <v>15</v>
      </c>
      <c r="E24"/>
    </row>
    <row r="25" spans="1:21" x14ac:dyDescent="0.35">
      <c r="B25" s="80"/>
    </row>
    <row r="26" spans="1:21" x14ac:dyDescent="0.35">
      <c r="B26" s="15"/>
    </row>
    <row r="27" spans="1:21" x14ac:dyDescent="0.35">
      <c r="B27" s="15"/>
      <c r="F27" s="23"/>
    </row>
    <row r="28" spans="1:21" x14ac:dyDescent="0.35">
      <c r="A28" s="48" t="s">
        <v>16</v>
      </c>
    </row>
    <row r="29" spans="1:21" x14ac:dyDescent="0.35">
      <c r="A29" s="17"/>
      <c r="B29" s="52">
        <v>2018</v>
      </c>
      <c r="C29" s="52">
        <v>2019</v>
      </c>
      <c r="D29" s="52">
        <v>2020</v>
      </c>
      <c r="E29" s="52">
        <v>2021</v>
      </c>
      <c r="F29" s="52">
        <v>2022</v>
      </c>
      <c r="G29" s="52">
        <v>2023</v>
      </c>
      <c r="H29" s="52">
        <v>2024</v>
      </c>
      <c r="I29" s="52">
        <v>2025</v>
      </c>
      <c r="J29" s="52">
        <v>2026</v>
      </c>
      <c r="K29" s="52">
        <v>2027</v>
      </c>
      <c r="L29" s="52">
        <v>2028</v>
      </c>
      <c r="M29" s="52">
        <v>2029</v>
      </c>
      <c r="N29" s="52">
        <v>2030</v>
      </c>
      <c r="O29" s="52">
        <v>2031</v>
      </c>
      <c r="P29" s="52">
        <v>2032</v>
      </c>
      <c r="Q29" s="52">
        <v>2033</v>
      </c>
      <c r="R29" s="52">
        <v>2034</v>
      </c>
      <c r="S29" s="52">
        <v>2035</v>
      </c>
      <c r="T29" s="52">
        <v>2036</v>
      </c>
      <c r="U29" s="52">
        <v>2037</v>
      </c>
    </row>
    <row r="30" spans="1:21" x14ac:dyDescent="0.35">
      <c r="A30" s="220" t="s">
        <v>327</v>
      </c>
      <c r="B30" s="220" cm="1">
        <f t="array" ref="B30:U30">pure_lric</f>
        <v>4.8105491611328674E-3</v>
      </c>
      <c r="C30" s="220">
        <v>4.9575932505916721E-3</v>
      </c>
      <c r="D30" s="220">
        <v>5.5265413547767976E-3</v>
      </c>
      <c r="E30" s="220">
        <v>5.2834710956136798E-3</v>
      </c>
      <c r="F30" s="220">
        <v>5.2990502039982745E-3</v>
      </c>
      <c r="G30" s="220">
        <v>5.9334636150084998E-3</v>
      </c>
      <c r="H30" s="220">
        <v>5.8674847686674327E-3</v>
      </c>
      <c r="I30" s="220">
        <v>6.0388099307580375E-3</v>
      </c>
      <c r="J30" s="220">
        <v>6.2331778028931412E-3</v>
      </c>
      <c r="K30" s="220">
        <v>6.4342880831808561E-3</v>
      </c>
      <c r="L30" s="220">
        <v>6.6423922715421156E-3</v>
      </c>
      <c r="M30" s="220">
        <v>6.8577518409380315E-3</v>
      </c>
      <c r="N30" s="220">
        <v>7.0806386513345802E-3</v>
      </c>
      <c r="O30" s="220">
        <v>7.2286941948666705E-3</v>
      </c>
      <c r="P30" s="220">
        <v>7.3820561357528739E-3</v>
      </c>
      <c r="Q30" s="220">
        <v>7.5409524805030541E-3</v>
      </c>
      <c r="R30" s="220">
        <v>7.7056214102052571E-3</v>
      </c>
      <c r="S30" s="220">
        <v>7.876311737700285E-3</v>
      </c>
      <c r="T30" s="220">
        <v>7.9673044504295042E-3</v>
      </c>
      <c r="U30" s="220">
        <v>8.0650262483862121E-3</v>
      </c>
    </row>
    <row r="31" spans="1:21" x14ac:dyDescent="0.35">
      <c r="B31" s="76"/>
      <c r="C31" s="76"/>
    </row>
    <row r="32" spans="1:21" x14ac:dyDescent="0.35">
      <c r="B32" s="76"/>
      <c r="C32" s="76"/>
    </row>
  </sheetData>
  <phoneticPr fontId="1" type="noConversion"/>
  <dataValidations count="2">
    <dataValidation type="list" allowBlank="1" showInputMessage="1" showErrorMessage="1" sqref="B18:B20" xr:uid="{12E14B34-24FB-42A6-BF87-D45BAE03149B}">
      <formula1>growth_scenarios</formula1>
    </dataValidation>
    <dataValidation type="list" allowBlank="1" showInputMessage="1" showErrorMessage="1" sqref="B22" xr:uid="{07CADBC5-664A-47E7-8DC0-2C4614F658A1}">
      <formula1>currency_scenario</formula1>
    </dataValidation>
  </dataValidation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3C80-439D-4034-9C1C-7BF5C9DD8463}">
  <sheetPr>
    <tabColor theme="3" tint="0.79998168889431442"/>
  </sheetPr>
  <dimension ref="A1:U1"/>
  <sheetViews>
    <sheetView workbookViewId="0">
      <selection activeCell="E38" sqref="E38"/>
    </sheetView>
  </sheetViews>
  <sheetFormatPr defaultColWidth="15.54296875" defaultRowHeight="14.5" x14ac:dyDescent="0.35"/>
  <cols>
    <col min="1" max="16384" width="15.54296875" style="12"/>
  </cols>
  <sheetData>
    <row r="1" spans="1:21" ht="18.5" x14ac:dyDescent="0.45">
      <c r="A1" s="89" t="s">
        <v>17</v>
      </c>
      <c r="B1" s="127"/>
      <c r="C1" s="127"/>
      <c r="D1" s="128"/>
      <c r="E1" s="128"/>
      <c r="F1" s="128"/>
      <c r="G1" s="128"/>
      <c r="H1" s="128"/>
      <c r="I1" s="128"/>
      <c r="J1" s="128"/>
      <c r="K1" s="128"/>
      <c r="L1" s="128"/>
      <c r="M1" s="128"/>
      <c r="N1" s="128"/>
      <c r="O1" s="128"/>
      <c r="P1" s="128"/>
      <c r="Q1" s="128"/>
      <c r="R1" s="128"/>
      <c r="S1" s="128"/>
      <c r="T1" s="128"/>
      <c r="U1" s="12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C4A3E-8AA2-4AB5-9F3D-8BACE5465AE8}">
  <dimension ref="A1:W50"/>
  <sheetViews>
    <sheetView topLeftCell="A12" zoomScale="85" zoomScaleNormal="85" workbookViewId="0">
      <pane xSplit="1" topLeftCell="B1" activePane="topRight" state="frozen"/>
      <selection activeCell="C36" sqref="C36"/>
      <selection pane="topRight" activeCell="B8" sqref="B8"/>
    </sheetView>
  </sheetViews>
  <sheetFormatPr defaultColWidth="8.54296875" defaultRowHeight="14.5" x14ac:dyDescent="0.35"/>
  <cols>
    <col min="1" max="1" width="54.453125" style="12" customWidth="1"/>
    <col min="2" max="21" width="15.54296875" style="12" customWidth="1"/>
    <col min="22" max="24" width="22" style="12" customWidth="1"/>
    <col min="25" max="25" width="18.453125" style="12" bestFit="1" customWidth="1"/>
    <col min="26" max="27" width="18.453125" style="12" customWidth="1"/>
    <col min="28" max="28" width="19.54296875" style="12" customWidth="1"/>
    <col min="29" max="29" width="13.54296875" style="12" bestFit="1" customWidth="1"/>
    <col min="30" max="30" width="12.453125" style="12" customWidth="1"/>
    <col min="31" max="31" width="15.453125" style="12" bestFit="1" customWidth="1"/>
    <col min="32" max="59" width="11.54296875" style="12" bestFit="1" customWidth="1"/>
    <col min="60" max="80" width="9.453125" style="12" bestFit="1" customWidth="1"/>
    <col min="81" max="16384" width="8.54296875" style="12"/>
  </cols>
  <sheetData>
    <row r="1" spans="1:23" ht="18.5" x14ac:dyDescent="0.35">
      <c r="A1" s="27" t="s">
        <v>18</v>
      </c>
      <c r="B1" s="28"/>
      <c r="C1" s="28"/>
      <c r="D1" s="11"/>
      <c r="E1" s="11"/>
      <c r="F1" s="11"/>
      <c r="G1" s="11"/>
      <c r="H1" s="11"/>
      <c r="I1" s="11"/>
      <c r="J1" s="11"/>
      <c r="K1" s="11"/>
      <c r="L1" s="11"/>
      <c r="M1" s="11"/>
      <c r="N1" s="11"/>
      <c r="O1" s="11"/>
      <c r="P1" s="11"/>
      <c r="Q1" s="11"/>
      <c r="R1" s="11"/>
      <c r="S1" s="11"/>
      <c r="T1" s="11"/>
      <c r="U1" s="11"/>
    </row>
    <row r="2" spans="1:23" x14ac:dyDescent="0.35">
      <c r="A2" s="11"/>
      <c r="B2" s="11"/>
      <c r="C2" s="11"/>
      <c r="D2" s="11"/>
      <c r="E2" s="11"/>
      <c r="F2" s="11"/>
      <c r="G2" s="11"/>
      <c r="H2" s="11"/>
      <c r="I2" s="11"/>
      <c r="J2" s="11"/>
      <c r="K2" s="11"/>
      <c r="L2" s="11"/>
      <c r="M2" s="11"/>
      <c r="N2" s="11"/>
      <c r="O2" s="11"/>
      <c r="P2" s="11"/>
      <c r="Q2" s="11"/>
      <c r="R2" s="11"/>
      <c r="S2" s="11"/>
      <c r="T2" s="11"/>
      <c r="U2" s="11"/>
      <c r="V2" s="13"/>
      <c r="W2" s="13"/>
    </row>
    <row r="4" spans="1:23" x14ac:dyDescent="0.35">
      <c r="A4" s="24"/>
    </row>
    <row r="5" spans="1:23" x14ac:dyDescent="0.35">
      <c r="A5" s="21" t="str">
        <f>'Volume projections'!A10</f>
        <v>On-net fixed to fixed traffic</v>
      </c>
      <c r="B5" s="23"/>
      <c r="C5" s="23"/>
      <c r="D5" s="23"/>
      <c r="E5" s="23"/>
      <c r="F5" s="23"/>
      <c r="G5" s="23"/>
      <c r="H5" s="23"/>
      <c r="I5" s="23"/>
      <c r="J5" s="23"/>
      <c r="K5" s="23"/>
      <c r="L5" s="23"/>
      <c r="M5" s="23"/>
      <c r="N5" s="23"/>
      <c r="O5" s="23"/>
      <c r="P5" s="23"/>
    </row>
    <row r="7" spans="1:23" x14ac:dyDescent="0.35">
      <c r="A7" s="17"/>
      <c r="B7" s="52">
        <f>'Volume projections'!B12</f>
        <v>2018</v>
      </c>
      <c r="C7" s="52">
        <f>'Volume projections'!C12</f>
        <v>2019</v>
      </c>
      <c r="D7" s="52">
        <f>'Volume projections'!D12</f>
        <v>2020</v>
      </c>
      <c r="E7" s="52">
        <f>'Volume projections'!E12</f>
        <v>2021</v>
      </c>
      <c r="F7" s="52">
        <f>'Volume projections'!F12</f>
        <v>2022</v>
      </c>
      <c r="G7" s="52">
        <f>'Volume projections'!G12</f>
        <v>2023</v>
      </c>
      <c r="H7" s="52">
        <f>'Volume projections'!H12</f>
        <v>2024</v>
      </c>
      <c r="I7" s="52">
        <f>'Volume projections'!I12</f>
        <v>2025</v>
      </c>
      <c r="J7" s="52">
        <f>'Volume projections'!J12</f>
        <v>2026</v>
      </c>
      <c r="K7" s="52">
        <f>'Volume projections'!K12</f>
        <v>2027</v>
      </c>
      <c r="L7" s="52">
        <f>'Volume projections'!L12</f>
        <v>2028</v>
      </c>
      <c r="M7" s="52">
        <f>'Volume projections'!M12</f>
        <v>2029</v>
      </c>
      <c r="N7" s="52">
        <f>'Volume projections'!N12</f>
        <v>2030</v>
      </c>
      <c r="O7" s="52">
        <f>'Volume projections'!O12</f>
        <v>2031</v>
      </c>
      <c r="P7" s="52">
        <f>'Volume projections'!P12</f>
        <v>2032</v>
      </c>
      <c r="Q7" s="52">
        <f>'Volume projections'!Q12</f>
        <v>2033</v>
      </c>
      <c r="R7" s="52">
        <f>'Volume projections'!R12</f>
        <v>2034</v>
      </c>
      <c r="S7" s="52">
        <f>'Volume projections'!S12</f>
        <v>2035</v>
      </c>
      <c r="T7" s="52">
        <f>'Volume projections'!T12</f>
        <v>2036</v>
      </c>
      <c r="U7" s="52">
        <f>'Volume projections'!U12</f>
        <v>2037</v>
      </c>
    </row>
    <row r="8" spans="1:23" x14ac:dyDescent="0.35">
      <c r="A8" s="17" t="str">
        <f>'Volume projections'!A13</f>
        <v>Low growth scenario</v>
      </c>
      <c r="B8" s="26">
        <f>'Volume projections'!B13</f>
        <v>3642630000</v>
      </c>
      <c r="C8" s="26">
        <f>'Volume projections'!C13</f>
        <v>3063954000</v>
      </c>
      <c r="D8" s="26">
        <f>'Volume projections'!D13</f>
        <v>2663016000</v>
      </c>
      <c r="E8" s="26">
        <f>'Volume projections'!E13</f>
        <v>2358228000</v>
      </c>
      <c r="F8" s="26">
        <f>'Volume projections'!F13</f>
        <v>2040058879.6144688</v>
      </c>
      <c r="G8" s="26">
        <f>'Volume projections'!G13</f>
        <v>1764816732.0097301</v>
      </c>
      <c r="H8" s="26">
        <f>'Volume projections'!H13</f>
        <v>1526709904.6524079</v>
      </c>
      <c r="I8" s="26">
        <f>'Volume projections'!I13</f>
        <v>1320728147.3977511</v>
      </c>
      <c r="J8" s="26">
        <f>'Volume projections'!J13</f>
        <v>1142537186.6738708</v>
      </c>
      <c r="K8" s="26">
        <f>'Volume projections'!K13</f>
        <v>988387523.58286142</v>
      </c>
      <c r="L8" s="26">
        <f>'Volume projections'!L13</f>
        <v>855035536.84604359</v>
      </c>
      <c r="M8" s="26">
        <f>'Volume projections'!M13</f>
        <v>739675230.4394213</v>
      </c>
      <c r="N8" s="26">
        <f>'Volume projections'!N13</f>
        <v>639879189.75129628</v>
      </c>
      <c r="O8" s="26">
        <f>'Volume projections'!O13</f>
        <v>553547503.85995066</v>
      </c>
      <c r="P8" s="26">
        <f>'Volume projections'!P13</f>
        <v>478863579.15261662</v>
      </c>
      <c r="Q8" s="26">
        <f>'Volume projections'!Q13</f>
        <v>414255914.51473802</v>
      </c>
      <c r="R8" s="26">
        <f>'Volume projections'!R13</f>
        <v>358365033.76204658</v>
      </c>
      <c r="S8" s="26">
        <f>'Volume projections'!S13</f>
        <v>310014879.50681698</v>
      </c>
      <c r="T8" s="26">
        <f>'Volume projections'!T13</f>
        <v>268188066.52727878</v>
      </c>
      <c r="U8" s="26">
        <f>'Volume projections'!U13</f>
        <v>232004473.92093173</v>
      </c>
    </row>
    <row r="9" spans="1:23" x14ac:dyDescent="0.35">
      <c r="A9" s="17" t="str">
        <f>'Volume projections'!A14</f>
        <v>Medium growth scenario</v>
      </c>
      <c r="B9" s="26">
        <f>'Volume projections'!B14</f>
        <v>3642630000</v>
      </c>
      <c r="C9" s="26">
        <f>'Volume projections'!C14</f>
        <v>3063954000</v>
      </c>
      <c r="D9" s="26">
        <f>'Volume projections'!D14</f>
        <v>2663016000</v>
      </c>
      <c r="E9" s="26">
        <f>'Volume projections'!E14</f>
        <v>2358228000</v>
      </c>
      <c r="F9" s="26">
        <f>'Volume projections'!F14</f>
        <v>2132949216.0195379</v>
      </c>
      <c r="G9" s="26">
        <f>'Volume projections'!G14</f>
        <v>1929191052.823714</v>
      </c>
      <c r="H9" s="26">
        <f>'Volume projections'!H14</f>
        <v>1744897670.4848928</v>
      </c>
      <c r="I9" s="26">
        <f>'Volume projections'!I14</f>
        <v>1578209621.077805</v>
      </c>
      <c r="J9" s="26">
        <f>'Volume projections'!J14</f>
        <v>1427445087.5794861</v>
      </c>
      <c r="K9" s="26">
        <f>'Volume projections'!K14</f>
        <v>1291082914.9953294</v>
      </c>
      <c r="L9" s="26">
        <f>'Volume projections'!L14</f>
        <v>1167747262.5019751</v>
      </c>
      <c r="M9" s="26">
        <f>'Volume projections'!M14</f>
        <v>1056193721.7531762</v>
      </c>
      <c r="N9" s="26">
        <f>'Volume projections'!N14</f>
        <v>955296761.28779542</v>
      </c>
      <c r="O9" s="26">
        <f>'Volume projections'!O14</f>
        <v>864038370.35893345</v>
      </c>
      <c r="P9" s="26">
        <f>'Volume projections'!P14</f>
        <v>781497787.60488224</v>
      </c>
      <c r="Q9" s="26">
        <f>'Volume projections'!Q14</f>
        <v>706842210.92822111</v>
      </c>
      <c r="R9" s="26">
        <f>'Volume projections'!R14</f>
        <v>639318394.84938097</v>
      </c>
      <c r="S9" s="26">
        <f>'Volume projections'!S14</f>
        <v>578245050.55527139</v>
      </c>
      <c r="T9" s="26">
        <f>'Volume projections'!T14</f>
        <v>523005971.96244138</v>
      </c>
      <c r="U9" s="26">
        <f>'Volume projections'!U14</f>
        <v>473043818.43944937</v>
      </c>
    </row>
    <row r="10" spans="1:23" x14ac:dyDescent="0.35">
      <c r="A10" s="17" t="str">
        <f>'Volume projections'!A15</f>
        <v>High growth scenario</v>
      </c>
      <c r="B10" s="26">
        <f>'Volume projections'!B15</f>
        <v>3642630000</v>
      </c>
      <c r="C10" s="26">
        <f>'Volume projections'!C15</f>
        <v>3063954000</v>
      </c>
      <c r="D10" s="26">
        <f>'Volume projections'!D15</f>
        <v>2663016000</v>
      </c>
      <c r="E10" s="26">
        <f>'Volume projections'!E15</f>
        <v>2358228000</v>
      </c>
      <c r="F10" s="26">
        <f>'Volume projections'!F15</f>
        <v>2477502904.3169575</v>
      </c>
      <c r="G10" s="26">
        <f>'Volume projections'!G15</f>
        <v>2602810517.4304433</v>
      </c>
      <c r="H10" s="26">
        <f>'Volume projections'!H15</f>
        <v>2734455962.833384</v>
      </c>
      <c r="I10" s="26">
        <f>'Volume projections'!I15</f>
        <v>2872759796.6127667</v>
      </c>
      <c r="J10" s="26">
        <f>'Volume projections'!J15</f>
        <v>3018058788.0023141</v>
      </c>
      <c r="K10" s="26">
        <f>'Volume projections'!K15</f>
        <v>3170706739.4141064</v>
      </c>
      <c r="L10" s="26">
        <f>'Volume projections'!L15</f>
        <v>3331075347.9459147</v>
      </c>
      <c r="M10" s="26">
        <f>'Volume projections'!M15</f>
        <v>3499555110.462018</v>
      </c>
      <c r="N10" s="26">
        <f>'Volume projections'!N15</f>
        <v>3676556274.4513679</v>
      </c>
      <c r="O10" s="26">
        <f>'Volume projections'!O15</f>
        <v>3862509836.9784417</v>
      </c>
      <c r="P10" s="26">
        <f>'Volume projections'!P15</f>
        <v>4057868594.1592193</v>
      </c>
      <c r="Q10" s="26">
        <f>'Volume projections'!Q15</f>
        <v>4263108243.7177553</v>
      </c>
      <c r="R10" s="26">
        <f>'Volume projections'!R15</f>
        <v>4478728543.3080692</v>
      </c>
      <c r="S10" s="26">
        <f>'Volume projections'!S15</f>
        <v>4705254527.4218597</v>
      </c>
      <c r="T10" s="26">
        <f>'Volume projections'!T15</f>
        <v>4943237785.8452072</v>
      </c>
      <c r="U10" s="26">
        <f>'Volume projections'!U15</f>
        <v>5193257806.7773037</v>
      </c>
    </row>
    <row r="12" spans="1:23" x14ac:dyDescent="0.35">
      <c r="A12" s="21" t="str">
        <f>'Volume projections'!A17</f>
        <v>Incoming fixed to fixed traffic</v>
      </c>
    </row>
    <row r="14" spans="1:23" x14ac:dyDescent="0.35">
      <c r="A14" s="17"/>
      <c r="B14" s="52">
        <f>'Volume projections'!B19</f>
        <v>2018</v>
      </c>
      <c r="C14" s="52">
        <f>'Volume projections'!C19</f>
        <v>2019</v>
      </c>
      <c r="D14" s="52">
        <f>'Volume projections'!D19</f>
        <v>2020</v>
      </c>
      <c r="E14" s="52">
        <f>'Volume projections'!E19</f>
        <v>2021</v>
      </c>
      <c r="F14" s="52">
        <f>'Volume projections'!F19</f>
        <v>2022</v>
      </c>
      <c r="G14" s="52">
        <f>'Volume projections'!G19</f>
        <v>2023</v>
      </c>
      <c r="H14" s="52">
        <f>'Volume projections'!H19</f>
        <v>2024</v>
      </c>
      <c r="I14" s="52">
        <f>'Volume projections'!I19</f>
        <v>2025</v>
      </c>
      <c r="J14" s="52">
        <f>'Volume projections'!J19</f>
        <v>2026</v>
      </c>
      <c r="K14" s="52">
        <f>'Volume projections'!K19</f>
        <v>2027</v>
      </c>
      <c r="L14" s="52">
        <f>'Volume projections'!L19</f>
        <v>2028</v>
      </c>
      <c r="M14" s="52">
        <f>'Volume projections'!M19</f>
        <v>2029</v>
      </c>
      <c r="N14" s="52">
        <f>'Volume projections'!N19</f>
        <v>2030</v>
      </c>
      <c r="O14" s="52">
        <f>'Volume projections'!O19</f>
        <v>2031</v>
      </c>
      <c r="P14" s="52">
        <f>'Volume projections'!P19</f>
        <v>2032</v>
      </c>
      <c r="Q14" s="52">
        <f>'Volume projections'!Q19</f>
        <v>2033</v>
      </c>
      <c r="R14" s="52">
        <f>'Volume projections'!R19</f>
        <v>2034</v>
      </c>
      <c r="S14" s="52">
        <f>'Volume projections'!S19</f>
        <v>2035</v>
      </c>
      <c r="T14" s="52">
        <f>'Volume projections'!T19</f>
        <v>2036</v>
      </c>
      <c r="U14" s="52">
        <f>'Volume projections'!U19</f>
        <v>2037</v>
      </c>
    </row>
    <row r="15" spans="1:23" x14ac:dyDescent="0.35">
      <c r="A15" s="17" t="str">
        <f>'Volume projections'!A20</f>
        <v>Low growth scenario</v>
      </c>
      <c r="B15" s="26">
        <f>'Volume projections'!B20</f>
        <v>2428420000</v>
      </c>
      <c r="C15" s="26">
        <f>'Volume projections'!C20</f>
        <v>2042636000</v>
      </c>
      <c r="D15" s="26">
        <f>'Volume projections'!D20</f>
        <v>1775344000</v>
      </c>
      <c r="E15" s="26">
        <f>'Volume projections'!E20</f>
        <v>1572152000</v>
      </c>
      <c r="F15" s="26">
        <f>'Volume projections'!F20</f>
        <v>1360039253.0763125</v>
      </c>
      <c r="G15" s="26">
        <f>'Volume projections'!G20</f>
        <v>1176544488.0064867</v>
      </c>
      <c r="H15" s="26">
        <f>'Volume projections'!H20</f>
        <v>1017806603.1016052</v>
      </c>
      <c r="I15" s="26">
        <f>'Volume projections'!I20</f>
        <v>880485431.59850073</v>
      </c>
      <c r="J15" s="26">
        <f>'Volume projections'!J20</f>
        <v>761691457.78258061</v>
      </c>
      <c r="K15" s="26">
        <f>'Volume projections'!K20</f>
        <v>658925015.72190773</v>
      </c>
      <c r="L15" s="26">
        <f>'Volume projections'!L20</f>
        <v>570023691.23069584</v>
      </c>
      <c r="M15" s="26">
        <f>'Volume projections'!M20</f>
        <v>493116820.29294765</v>
      </c>
      <c r="N15" s="26">
        <f>'Volume projections'!N20</f>
        <v>426586126.50086427</v>
      </c>
      <c r="O15" s="26">
        <f>'Volume projections'!O20</f>
        <v>369031669.23996717</v>
      </c>
      <c r="P15" s="26">
        <f>'Volume projections'!P20</f>
        <v>319242386.10174447</v>
      </c>
      <c r="Q15" s="26">
        <f>'Volume projections'!Q20</f>
        <v>276170609.67649204</v>
      </c>
      <c r="R15" s="26">
        <f>'Volume projections'!R20</f>
        <v>238910022.5080311</v>
      </c>
      <c r="S15" s="26">
        <f>'Volume projections'!S20</f>
        <v>206676586.33787805</v>
      </c>
      <c r="T15" s="26">
        <f>'Volume projections'!T20</f>
        <v>178792044.35151926</v>
      </c>
      <c r="U15" s="26">
        <f>'Volume projections'!U20</f>
        <v>154669649.2806212</v>
      </c>
    </row>
    <row r="16" spans="1:23" x14ac:dyDescent="0.35">
      <c r="A16" s="17" t="str">
        <f>'Volume projections'!A21</f>
        <v>Medium growth scenario</v>
      </c>
      <c r="B16" s="26">
        <f>'Volume projections'!B21</f>
        <v>2428420000</v>
      </c>
      <c r="C16" s="26">
        <f>'Volume projections'!C21</f>
        <v>2042636000</v>
      </c>
      <c r="D16" s="26">
        <f>'Volume projections'!D21</f>
        <v>1775344000</v>
      </c>
      <c r="E16" s="26">
        <f>'Volume projections'!E21</f>
        <v>1572152000</v>
      </c>
      <c r="F16" s="26">
        <f>'Volume projections'!F21</f>
        <v>1421966144.0130253</v>
      </c>
      <c r="G16" s="26">
        <f>'Volume projections'!G21</f>
        <v>1286127368.5491426</v>
      </c>
      <c r="H16" s="26">
        <f>'Volume projections'!H21</f>
        <v>1163265113.6565952</v>
      </c>
      <c r="I16" s="26">
        <f>'Volume projections'!I21</f>
        <v>1052139747.3852034</v>
      </c>
      <c r="J16" s="26">
        <f>'Volume projections'!J21</f>
        <v>951630058.38632405</v>
      </c>
      <c r="K16" s="26">
        <f>'Volume projections'!K21</f>
        <v>860721943.33021951</v>
      </c>
      <c r="L16" s="26">
        <f>'Volume projections'!L21</f>
        <v>778498175.00131655</v>
      </c>
      <c r="M16" s="26">
        <f>'Volume projections'!M21</f>
        <v>704129147.83545065</v>
      </c>
      <c r="N16" s="26">
        <f>'Volume projections'!N21</f>
        <v>636864507.52519679</v>
      </c>
      <c r="O16" s="26">
        <f>'Volume projections'!O21</f>
        <v>576025580.23928881</v>
      </c>
      <c r="P16" s="26">
        <f>'Volume projections'!P21</f>
        <v>520998525.06992137</v>
      </c>
      <c r="Q16" s="26">
        <f>'Volume projections'!Q21</f>
        <v>471228140.61881393</v>
      </c>
      <c r="R16" s="26">
        <f>'Volume projections'!R21</f>
        <v>426212263.23292053</v>
      </c>
      <c r="S16" s="26">
        <f>'Volume projections'!S21</f>
        <v>385496700.37018085</v>
      </c>
      <c r="T16" s="26">
        <f>'Volume projections'!T21</f>
        <v>348670647.97496086</v>
      </c>
      <c r="U16" s="26">
        <f>'Volume projections'!U21</f>
        <v>315362545.6262995</v>
      </c>
    </row>
    <row r="17" spans="1:21" x14ac:dyDescent="0.35">
      <c r="A17" s="17" t="str">
        <f>'Volume projections'!A22</f>
        <v>High growth scenario</v>
      </c>
      <c r="B17" s="26">
        <f>'Volume projections'!B22</f>
        <v>2428420000</v>
      </c>
      <c r="C17" s="26">
        <f>'Volume projections'!C22</f>
        <v>2042636000</v>
      </c>
      <c r="D17" s="26">
        <f>'Volume projections'!D22</f>
        <v>1775344000</v>
      </c>
      <c r="E17" s="26">
        <f>'Volume projections'!E22</f>
        <v>1572152000</v>
      </c>
      <c r="F17" s="26">
        <f>'Volume projections'!F22</f>
        <v>1651668602.8779716</v>
      </c>
      <c r="G17" s="26">
        <f>'Volume projections'!G22</f>
        <v>1735207011.6202955</v>
      </c>
      <c r="H17" s="26">
        <f>'Volume projections'!H22</f>
        <v>1822970641.8889229</v>
      </c>
      <c r="I17" s="26">
        <f>'Volume projections'!I22</f>
        <v>1915173197.7418447</v>
      </c>
      <c r="J17" s="26">
        <f>'Volume projections'!J22</f>
        <v>2012039192.001543</v>
      </c>
      <c r="K17" s="26">
        <f>'Volume projections'!K22</f>
        <v>2113804492.9427381</v>
      </c>
      <c r="L17" s="26">
        <f>'Volume projections'!L22</f>
        <v>2220716898.6306105</v>
      </c>
      <c r="M17" s="26">
        <f>'Volume projections'!M22</f>
        <v>2333036740.3080125</v>
      </c>
      <c r="N17" s="26">
        <f>'Volume projections'!N22</f>
        <v>2451037516.3009124</v>
      </c>
      <c r="O17" s="26">
        <f>'Volume projections'!O22</f>
        <v>2575006557.9856281</v>
      </c>
      <c r="P17" s="26">
        <f>'Volume projections'!P22</f>
        <v>2705245729.4394798</v>
      </c>
      <c r="Q17" s="26">
        <f>'Volume projections'!Q22</f>
        <v>2842072162.4785037</v>
      </c>
      <c r="R17" s="26">
        <f>'Volume projections'!R22</f>
        <v>2985819028.8720465</v>
      </c>
      <c r="S17" s="26">
        <f>'Volume projections'!S22</f>
        <v>3136836351.6145735</v>
      </c>
      <c r="T17" s="26">
        <f>'Volume projections'!T22</f>
        <v>3295491857.2301383</v>
      </c>
      <c r="U17" s="26">
        <f>'Volume projections'!U22</f>
        <v>3462171871.1848693</v>
      </c>
    </row>
    <row r="19" spans="1:21" x14ac:dyDescent="0.35">
      <c r="A19" s="21" t="str">
        <f>'Volume projections'!A24</f>
        <v>Off-net fixed to fixed traffic</v>
      </c>
    </row>
    <row r="21" spans="1:21" x14ac:dyDescent="0.35">
      <c r="A21" s="17"/>
      <c r="B21" s="52">
        <f>'Volume projections'!B26</f>
        <v>2018</v>
      </c>
      <c r="C21" s="52">
        <f>'Volume projections'!C26</f>
        <v>2019</v>
      </c>
      <c r="D21" s="52">
        <f>'Volume projections'!D26</f>
        <v>2020</v>
      </c>
      <c r="E21" s="52">
        <f>'Volume projections'!E26</f>
        <v>2021</v>
      </c>
      <c r="F21" s="52">
        <f>'Volume projections'!F26</f>
        <v>2022</v>
      </c>
      <c r="G21" s="52">
        <f>'Volume projections'!G26</f>
        <v>2023</v>
      </c>
      <c r="H21" s="52">
        <f>'Volume projections'!H26</f>
        <v>2024</v>
      </c>
      <c r="I21" s="52">
        <f>'Volume projections'!I26</f>
        <v>2025</v>
      </c>
      <c r="J21" s="52">
        <f>'Volume projections'!J26</f>
        <v>2026</v>
      </c>
      <c r="K21" s="52">
        <f>'Volume projections'!K26</f>
        <v>2027</v>
      </c>
      <c r="L21" s="52">
        <f>'Volume projections'!L26</f>
        <v>2028</v>
      </c>
      <c r="M21" s="52">
        <f>'Volume projections'!M26</f>
        <v>2029</v>
      </c>
      <c r="N21" s="52">
        <f>'Volume projections'!N26</f>
        <v>2030</v>
      </c>
      <c r="O21" s="52">
        <f>'Volume projections'!O26</f>
        <v>2031</v>
      </c>
      <c r="P21" s="52">
        <f>'Volume projections'!P26</f>
        <v>2032</v>
      </c>
      <c r="Q21" s="52">
        <f>'Volume projections'!Q26</f>
        <v>2033</v>
      </c>
      <c r="R21" s="52">
        <f>'Volume projections'!R26</f>
        <v>2034</v>
      </c>
      <c r="S21" s="52">
        <f>'Volume projections'!S26</f>
        <v>2035</v>
      </c>
      <c r="T21" s="52">
        <f>'Volume projections'!T26</f>
        <v>2036</v>
      </c>
      <c r="U21" s="52">
        <f>'Volume projections'!U26</f>
        <v>2037</v>
      </c>
    </row>
    <row r="22" spans="1:21" x14ac:dyDescent="0.35">
      <c r="A22" s="17" t="str">
        <f>'Volume projections'!A27</f>
        <v>Low growth scenario</v>
      </c>
      <c r="B22" s="26">
        <f>'Volume projections'!B27</f>
        <v>2428420000</v>
      </c>
      <c r="C22" s="26">
        <f>'Volume projections'!C27</f>
        <v>2042636000</v>
      </c>
      <c r="D22" s="26">
        <f>'Volume projections'!D27</f>
        <v>1775344000</v>
      </c>
      <c r="E22" s="26">
        <f>'Volume projections'!E27</f>
        <v>1572152000</v>
      </c>
      <c r="F22" s="26">
        <f>'Volume projections'!F27</f>
        <v>1360039253.0763125</v>
      </c>
      <c r="G22" s="26">
        <f>'Volume projections'!G27</f>
        <v>1176544488.0064867</v>
      </c>
      <c r="H22" s="26">
        <f>'Volume projections'!H27</f>
        <v>1017806603.1016052</v>
      </c>
      <c r="I22" s="26">
        <f>'Volume projections'!I27</f>
        <v>880485431.59850073</v>
      </c>
      <c r="J22" s="26">
        <f>'Volume projections'!J27</f>
        <v>761691457.78258061</v>
      </c>
      <c r="K22" s="26">
        <f>'Volume projections'!K27</f>
        <v>658925015.72190773</v>
      </c>
      <c r="L22" s="26">
        <f>'Volume projections'!L27</f>
        <v>570023691.23069584</v>
      </c>
      <c r="M22" s="26">
        <f>'Volume projections'!M27</f>
        <v>493116820.29294765</v>
      </c>
      <c r="N22" s="26">
        <f>'Volume projections'!N27</f>
        <v>426586126.50086427</v>
      </c>
      <c r="O22" s="26">
        <f>'Volume projections'!O27</f>
        <v>369031669.23996717</v>
      </c>
      <c r="P22" s="26">
        <f>'Volume projections'!P27</f>
        <v>319242386.10174447</v>
      </c>
      <c r="Q22" s="26">
        <f>'Volume projections'!Q27</f>
        <v>276170609.67649204</v>
      </c>
      <c r="R22" s="26">
        <f>'Volume projections'!R27</f>
        <v>238910022.5080311</v>
      </c>
      <c r="S22" s="26">
        <f>'Volume projections'!S27</f>
        <v>206676586.33787805</v>
      </c>
      <c r="T22" s="26">
        <f>'Volume projections'!T27</f>
        <v>178792044.35151926</v>
      </c>
      <c r="U22" s="26">
        <f>'Volume projections'!U27</f>
        <v>154669649.2806212</v>
      </c>
    </row>
    <row r="23" spans="1:21" x14ac:dyDescent="0.35">
      <c r="A23" s="17" t="str">
        <f>'Volume projections'!A28</f>
        <v>Medium growth scenario</v>
      </c>
      <c r="B23" s="26">
        <f>'Volume projections'!B28</f>
        <v>2428420000</v>
      </c>
      <c r="C23" s="26">
        <f>'Volume projections'!C28</f>
        <v>2042636000</v>
      </c>
      <c r="D23" s="26">
        <f>'Volume projections'!D28</f>
        <v>1775344000</v>
      </c>
      <c r="E23" s="26">
        <f>'Volume projections'!E28</f>
        <v>1572152000</v>
      </c>
      <c r="F23" s="26">
        <f>'Volume projections'!F28</f>
        <v>1421966144.0130253</v>
      </c>
      <c r="G23" s="26">
        <f>'Volume projections'!G28</f>
        <v>1286127368.5491426</v>
      </c>
      <c r="H23" s="26">
        <f>'Volume projections'!H28</f>
        <v>1163265113.6565952</v>
      </c>
      <c r="I23" s="26">
        <f>'Volume projections'!I28</f>
        <v>1052139747.3852034</v>
      </c>
      <c r="J23" s="26">
        <f>'Volume projections'!J28</f>
        <v>951630058.38632405</v>
      </c>
      <c r="K23" s="26">
        <f>'Volume projections'!K28</f>
        <v>860721943.33021951</v>
      </c>
      <c r="L23" s="26">
        <f>'Volume projections'!L28</f>
        <v>778498175.00131655</v>
      </c>
      <c r="M23" s="26">
        <f>'Volume projections'!M28</f>
        <v>704129147.83545065</v>
      </c>
      <c r="N23" s="26">
        <f>'Volume projections'!N28</f>
        <v>636864507.52519679</v>
      </c>
      <c r="O23" s="26">
        <f>'Volume projections'!O28</f>
        <v>576025580.23928881</v>
      </c>
      <c r="P23" s="26">
        <f>'Volume projections'!P28</f>
        <v>520998525.06992137</v>
      </c>
      <c r="Q23" s="26">
        <f>'Volume projections'!Q28</f>
        <v>471228140.61881393</v>
      </c>
      <c r="R23" s="26">
        <f>'Volume projections'!R28</f>
        <v>426212263.23292053</v>
      </c>
      <c r="S23" s="26">
        <f>'Volume projections'!S28</f>
        <v>385496700.37018085</v>
      </c>
      <c r="T23" s="26">
        <f>'Volume projections'!T28</f>
        <v>348670647.97496086</v>
      </c>
      <c r="U23" s="26">
        <f>'Volume projections'!U28</f>
        <v>315362545.6262995</v>
      </c>
    </row>
    <row r="24" spans="1:21" x14ac:dyDescent="0.35">
      <c r="A24" s="17" t="str">
        <f>'Volume projections'!A29</f>
        <v>High growth scenario</v>
      </c>
      <c r="B24" s="26">
        <f>'Volume projections'!B29</f>
        <v>2428420000</v>
      </c>
      <c r="C24" s="26">
        <f>'Volume projections'!C29</f>
        <v>2042636000</v>
      </c>
      <c r="D24" s="26">
        <f>'Volume projections'!D29</f>
        <v>1775344000</v>
      </c>
      <c r="E24" s="26">
        <f>'Volume projections'!E29</f>
        <v>1572152000</v>
      </c>
      <c r="F24" s="26">
        <f>'Volume projections'!F29</f>
        <v>1651668602.8779716</v>
      </c>
      <c r="G24" s="26">
        <f>'Volume projections'!G29</f>
        <v>1735207011.6202955</v>
      </c>
      <c r="H24" s="26">
        <f>'Volume projections'!H29</f>
        <v>1822970641.8889229</v>
      </c>
      <c r="I24" s="26">
        <f>'Volume projections'!I29</f>
        <v>1915173197.7418447</v>
      </c>
      <c r="J24" s="26">
        <f>'Volume projections'!J29</f>
        <v>2012039192.001543</v>
      </c>
      <c r="K24" s="26">
        <f>'Volume projections'!K29</f>
        <v>2113804492.9427381</v>
      </c>
      <c r="L24" s="26">
        <f>'Volume projections'!L29</f>
        <v>2220716898.6306105</v>
      </c>
      <c r="M24" s="26">
        <f>'Volume projections'!M29</f>
        <v>2333036740.3080125</v>
      </c>
      <c r="N24" s="26">
        <f>'Volume projections'!N29</f>
        <v>2451037516.3009124</v>
      </c>
      <c r="O24" s="26">
        <f>'Volume projections'!O29</f>
        <v>2575006557.9856281</v>
      </c>
      <c r="P24" s="26">
        <f>'Volume projections'!P29</f>
        <v>2705245729.4394798</v>
      </c>
      <c r="Q24" s="26">
        <f>'Volume projections'!Q29</f>
        <v>2842072162.4785037</v>
      </c>
      <c r="R24" s="26">
        <f>'Volume projections'!R29</f>
        <v>2985819028.8720465</v>
      </c>
      <c r="S24" s="26">
        <f>'Volume projections'!S29</f>
        <v>3136836351.6145735</v>
      </c>
      <c r="T24" s="26">
        <f>'Volume projections'!T29</f>
        <v>3295491857.2301383</v>
      </c>
      <c r="U24" s="26">
        <f>'Volume projections'!U29</f>
        <v>3462171871.1848693</v>
      </c>
    </row>
    <row r="26" spans="1:21" x14ac:dyDescent="0.35">
      <c r="A26" s="21" t="str">
        <f>'Volume projections'!A31</f>
        <v>Fixed to Mobile Telephone traffic</v>
      </c>
    </row>
    <row r="28" spans="1:21" x14ac:dyDescent="0.35">
      <c r="A28" s="17"/>
      <c r="B28" s="52">
        <f>'Volume projections'!B33</f>
        <v>2018</v>
      </c>
      <c r="C28" s="52">
        <f>'Volume projections'!C33</f>
        <v>2019</v>
      </c>
      <c r="D28" s="52">
        <f>'Volume projections'!D33</f>
        <v>2020</v>
      </c>
      <c r="E28" s="52">
        <f>'Volume projections'!E33</f>
        <v>2021</v>
      </c>
      <c r="F28" s="52">
        <f>'Volume projections'!F33</f>
        <v>2022</v>
      </c>
      <c r="G28" s="52">
        <f>'Volume projections'!G33</f>
        <v>2023</v>
      </c>
      <c r="H28" s="52">
        <f>'Volume projections'!H33</f>
        <v>2024</v>
      </c>
      <c r="I28" s="52">
        <f>'Volume projections'!I33</f>
        <v>2025</v>
      </c>
      <c r="J28" s="52">
        <f>'Volume projections'!J33</f>
        <v>2026</v>
      </c>
      <c r="K28" s="52">
        <f>'Volume projections'!K33</f>
        <v>2027</v>
      </c>
      <c r="L28" s="52">
        <f>'Volume projections'!L33</f>
        <v>2028</v>
      </c>
      <c r="M28" s="52">
        <f>'Volume projections'!M33</f>
        <v>2029</v>
      </c>
      <c r="N28" s="52">
        <f>'Volume projections'!N33</f>
        <v>2030</v>
      </c>
      <c r="O28" s="52">
        <f>'Volume projections'!O33</f>
        <v>2031</v>
      </c>
      <c r="P28" s="52">
        <f>'Volume projections'!P33</f>
        <v>2032</v>
      </c>
      <c r="Q28" s="52">
        <f>'Volume projections'!Q33</f>
        <v>2033</v>
      </c>
      <c r="R28" s="52">
        <f>'Volume projections'!R33</f>
        <v>2034</v>
      </c>
      <c r="S28" s="52">
        <f>'Volume projections'!S33</f>
        <v>2035</v>
      </c>
      <c r="T28" s="52">
        <f>'Volume projections'!T33</f>
        <v>2036</v>
      </c>
      <c r="U28" s="52">
        <f>'Volume projections'!U33</f>
        <v>2037</v>
      </c>
    </row>
    <row r="29" spans="1:21" x14ac:dyDescent="0.35">
      <c r="A29" s="17" t="str">
        <f>'Volume projections'!A34</f>
        <v>Low growth scenario</v>
      </c>
      <c r="B29" s="26">
        <f>'Volume projections'!B34</f>
        <v>8144270000</v>
      </c>
      <c r="C29" s="26">
        <f>'Volume projections'!C34</f>
        <v>5948320000</v>
      </c>
      <c r="D29" s="26">
        <f>'Volume projections'!D34</f>
        <v>6424540000</v>
      </c>
      <c r="E29" s="26">
        <f>'Volume projections'!E34</f>
        <v>6026100000</v>
      </c>
      <c r="F29" s="26">
        <f>'Volume projections'!F34</f>
        <v>5213066257.5648966</v>
      </c>
      <c r="G29" s="26">
        <f>'Volume projections'!G34</f>
        <v>4509725992.8912029</v>
      </c>
      <c r="H29" s="26">
        <f>'Volume projections'!H34</f>
        <v>3901279501.568922</v>
      </c>
      <c r="I29" s="26">
        <f>'Volume projections'!I34</f>
        <v>3374923836.4711084</v>
      </c>
      <c r="J29" s="26">
        <f>'Volume projections'!J34</f>
        <v>2919583407.8025594</v>
      </c>
      <c r="K29" s="26">
        <f>'Volume projections'!K34</f>
        <v>2525676930.2470679</v>
      </c>
      <c r="L29" s="26">
        <f>'Volume projections'!L34</f>
        <v>2184915813.3089523</v>
      </c>
      <c r="M29" s="26">
        <f>'Volume projections'!M34</f>
        <v>1890129752.5731173</v>
      </c>
      <c r="N29" s="26">
        <f>'Volume projections'!N34</f>
        <v>1635115851.9703298</v>
      </c>
      <c r="O29" s="26">
        <f>'Volume projections'!O34</f>
        <v>1414508102.2744403</v>
      </c>
      <c r="P29" s="26">
        <f>'Volume projections'!P34</f>
        <v>1223664469.39464</v>
      </c>
      <c r="Q29" s="26">
        <f>'Volume projections'!Q34</f>
        <v>1058569216.5716219</v>
      </c>
      <c r="R29" s="26">
        <f>'Volume projections'!R34</f>
        <v>915748405.13871813</v>
      </c>
      <c r="S29" s="26">
        <f>'Volume projections'!S34</f>
        <v>792196795.812801</v>
      </c>
      <c r="T29" s="26">
        <f>'Volume projections'!T34</f>
        <v>685314612.36998081</v>
      </c>
      <c r="U29" s="26">
        <f>'Volume projections'!U34</f>
        <v>592852837.0856961</v>
      </c>
    </row>
    <row r="30" spans="1:21" x14ac:dyDescent="0.35">
      <c r="A30" s="17" t="str">
        <f>'Volume projections'!A35</f>
        <v>Medium growth scenario</v>
      </c>
      <c r="B30" s="26">
        <f>'Volume projections'!B35</f>
        <v>8144270000</v>
      </c>
      <c r="C30" s="26">
        <f>'Volume projections'!C35</f>
        <v>5948320000</v>
      </c>
      <c r="D30" s="26">
        <f>'Volume projections'!D35</f>
        <v>6424540000</v>
      </c>
      <c r="E30" s="26">
        <f>'Volume projections'!E35</f>
        <v>6026100000</v>
      </c>
      <c r="F30" s="26">
        <f>'Volume projections'!F35</f>
        <v>5450433660.6364346</v>
      </c>
      <c r="G30" s="26">
        <f>'Volume projections'!G35</f>
        <v>4929760058.5782986</v>
      </c>
      <c r="H30" s="26">
        <f>'Volume projections'!H35</f>
        <v>4458825801.4530458</v>
      </c>
      <c r="I30" s="26">
        <f>'Volume projections'!I35</f>
        <v>4032879347.3646154</v>
      </c>
      <c r="J30" s="26">
        <f>'Volume projections'!J35</f>
        <v>3647623063.6998382</v>
      </c>
      <c r="K30" s="26">
        <f>'Volume projections'!K35</f>
        <v>3299169865.7014313</v>
      </c>
      <c r="L30" s="26">
        <f>'Volume projections'!L35</f>
        <v>2984003997.3077888</v>
      </c>
      <c r="M30" s="26">
        <f>'Volume projections'!M35</f>
        <v>2698945558.5536323</v>
      </c>
      <c r="N30" s="26">
        <f>'Volume projections'!N35</f>
        <v>2441118421.6269097</v>
      </c>
      <c r="O30" s="26">
        <f>'Volume projections'!O35</f>
        <v>2207921211.8675418</v>
      </c>
      <c r="P30" s="26">
        <f>'Volume projections'!P35</f>
        <v>1997001060.9176812</v>
      </c>
      <c r="Q30" s="26">
        <f>'Volume projections'!Q35</f>
        <v>1806229867.2030668</v>
      </c>
      <c r="R30" s="26">
        <f>'Volume projections'!R35</f>
        <v>1633682824.2230418</v>
      </c>
      <c r="S30" s="26">
        <f>'Volume projections'!S35</f>
        <v>1477619000.0081084</v>
      </c>
      <c r="T30" s="26">
        <f>'Volume projections'!T35</f>
        <v>1336463771.7993631</v>
      </c>
      <c r="U30" s="26">
        <f>'Volume projections'!U35</f>
        <v>1208792938.7226198</v>
      </c>
    </row>
    <row r="31" spans="1:21" x14ac:dyDescent="0.35">
      <c r="A31" s="17" t="str">
        <f>'Volume projections'!A36</f>
        <v>High growth scenario</v>
      </c>
      <c r="B31" s="26">
        <f>'Volume projections'!B36</f>
        <v>8144270000</v>
      </c>
      <c r="C31" s="26">
        <f>'Volume projections'!C36</f>
        <v>5948320000</v>
      </c>
      <c r="D31" s="26">
        <f>'Volume projections'!D36</f>
        <v>6424540000</v>
      </c>
      <c r="E31" s="26">
        <f>'Volume projections'!E36</f>
        <v>6026100000</v>
      </c>
      <c r="F31" s="26">
        <f>'Volume projections'!F36</f>
        <v>6330889231.9590883</v>
      </c>
      <c r="G31" s="26">
        <f>'Volume projections'!G36</f>
        <v>6651094151.6628561</v>
      </c>
      <c r="H31" s="26">
        <f>'Volume projections'!H36</f>
        <v>6987494456.6981039</v>
      </c>
      <c r="I31" s="26">
        <f>'Volume projections'!I36</f>
        <v>7340909280.3444757</v>
      </c>
      <c r="J31" s="26">
        <f>'Volume projections'!J36</f>
        <v>7712199186.1604328</v>
      </c>
      <c r="K31" s="26">
        <f>'Volume projections'!K36</f>
        <v>8102268263.4517727</v>
      </c>
      <c r="L31" s="26">
        <f>'Volume projections'!L36</f>
        <v>8512066328.7251606</v>
      </c>
      <c r="M31" s="26">
        <f>'Volume projections'!M36</f>
        <v>8942591238.4871883</v>
      </c>
      <c r="N31" s="26">
        <f>'Volume projections'!N36</f>
        <v>9394891319.0206318</v>
      </c>
      <c r="O31" s="26">
        <f>'Volume projections'!O36</f>
        <v>9870067919.0543861</v>
      </c>
      <c r="P31" s="26">
        <f>'Volume projections'!P36</f>
        <v>10369278091.542831</v>
      </c>
      <c r="Q31" s="26">
        <f>'Volume projections'!Q36</f>
        <v>10893737411.084747</v>
      </c>
      <c r="R31" s="26">
        <f>'Volume projections'!R36</f>
        <v>11444722933.842171</v>
      </c>
      <c r="S31" s="26">
        <f>'Volume projections'!S36</f>
        <v>12023576307.166595</v>
      </c>
      <c r="T31" s="26">
        <f>'Volume projections'!T36</f>
        <v>12631707036.504442</v>
      </c>
      <c r="U31" s="26">
        <f>'Volume projections'!U36</f>
        <v>13270595917.536686</v>
      </c>
    </row>
    <row r="33" spans="1:21" x14ac:dyDescent="0.35">
      <c r="A33" s="21" t="str">
        <f>'Volume projections'!A38</f>
        <v>Outgoing mobile traffic to fixed networks</v>
      </c>
    </row>
    <row r="35" spans="1:21" x14ac:dyDescent="0.35">
      <c r="A35" s="17"/>
      <c r="B35" s="52">
        <f>'Volume projections'!B40</f>
        <v>2018</v>
      </c>
      <c r="C35" s="52">
        <f>'Volume projections'!C40</f>
        <v>2019</v>
      </c>
      <c r="D35" s="52">
        <f>'Volume projections'!D40</f>
        <v>2020</v>
      </c>
      <c r="E35" s="52">
        <f>'Volume projections'!E40</f>
        <v>2021</v>
      </c>
      <c r="F35" s="52">
        <f>'Volume projections'!F40</f>
        <v>2022</v>
      </c>
      <c r="G35" s="52">
        <f>'Volume projections'!G40</f>
        <v>2023</v>
      </c>
      <c r="H35" s="52">
        <f>'Volume projections'!H40</f>
        <v>2024</v>
      </c>
      <c r="I35" s="52">
        <f>'Volume projections'!I40</f>
        <v>2025</v>
      </c>
      <c r="J35" s="52">
        <f>'Volume projections'!J40</f>
        <v>2026</v>
      </c>
      <c r="K35" s="52">
        <f>'Volume projections'!K40</f>
        <v>2027</v>
      </c>
      <c r="L35" s="52">
        <f>'Volume projections'!L40</f>
        <v>2028</v>
      </c>
      <c r="M35" s="52">
        <f>'Volume projections'!M40</f>
        <v>2029</v>
      </c>
      <c r="N35" s="52">
        <f>'Volume projections'!N40</f>
        <v>2030</v>
      </c>
      <c r="O35" s="52">
        <f>'Volume projections'!O40</f>
        <v>2031</v>
      </c>
      <c r="P35" s="52">
        <f>'Volume projections'!P40</f>
        <v>2032</v>
      </c>
      <c r="Q35" s="52">
        <f>'Volume projections'!Q40</f>
        <v>2033</v>
      </c>
      <c r="R35" s="52">
        <f>'Volume projections'!R40</f>
        <v>2034</v>
      </c>
      <c r="S35" s="52">
        <f>'Volume projections'!S40</f>
        <v>2035</v>
      </c>
      <c r="T35" s="52">
        <f>'Volume projections'!T40</f>
        <v>2036</v>
      </c>
      <c r="U35" s="52">
        <f>'Volume projections'!U40</f>
        <v>2037</v>
      </c>
    </row>
    <row r="36" spans="1:21" x14ac:dyDescent="0.35">
      <c r="A36" s="17" t="str">
        <f>'Volume projections'!A41</f>
        <v>Low growth scenario</v>
      </c>
      <c r="B36" s="26">
        <f>'Volume projections'!B41</f>
        <v>2366640000</v>
      </c>
      <c r="C36" s="26">
        <f>'Volume projections'!C41</f>
        <v>2463320000</v>
      </c>
      <c r="D36" s="26">
        <f>'Volume projections'!D41</f>
        <v>2945570000</v>
      </c>
      <c r="E36" s="26">
        <f>'Volume projections'!E41</f>
        <v>2744210000</v>
      </c>
      <c r="F36" s="26">
        <f>'Volume projections'!F41</f>
        <v>2373964679.423203</v>
      </c>
      <c r="G36" s="26">
        <f>'Volume projections'!G41</f>
        <v>2053672386.2783501</v>
      </c>
      <c r="H36" s="26">
        <f>'Volume projections'!H41</f>
        <v>1776593521.6807635</v>
      </c>
      <c r="I36" s="26">
        <f>'Volume projections'!I41</f>
        <v>1536897784.8496337</v>
      </c>
      <c r="J36" s="26">
        <f>'Volume projections'!J41</f>
        <v>1329541491.7651315</v>
      </c>
      <c r="K36" s="26">
        <f>'Volume projections'!K41</f>
        <v>1150161445.8361633</v>
      </c>
      <c r="L36" s="26">
        <f>'Volume projections'!L41</f>
        <v>994983127.40255857</v>
      </c>
      <c r="M36" s="26">
        <f>'Volume projections'!M41</f>
        <v>860741270.19277358</v>
      </c>
      <c r="N36" s="26">
        <f>'Volume projections'!N41</f>
        <v>744611153.50483692</v>
      </c>
      <c r="O36" s="26">
        <f>'Volume projections'!O41</f>
        <v>644149164.358796</v>
      </c>
      <c r="P36" s="26">
        <f>'Volume projections'!P41</f>
        <v>557241378.92790759</v>
      </c>
      <c r="Q36" s="26">
        <f>'Volume projections'!Q41</f>
        <v>482059081.29768997</v>
      </c>
      <c r="R36" s="26">
        <f>'Volume projections'!R41</f>
        <v>417020283.5773918</v>
      </c>
      <c r="S36" s="26">
        <f>'Volume projections'!S41</f>
        <v>360756437.6690473</v>
      </c>
      <c r="T36" s="26">
        <f>'Volume projections'!T41</f>
        <v>312083638.24228346</v>
      </c>
      <c r="U36" s="26">
        <f>'Volume projections'!U41</f>
        <v>269977710.967116</v>
      </c>
    </row>
    <row r="37" spans="1:21" x14ac:dyDescent="0.35">
      <c r="A37" s="17" t="str">
        <f>'Volume projections'!A42</f>
        <v>Medium growth scenario</v>
      </c>
      <c r="B37" s="26">
        <f>'Volume projections'!B42</f>
        <v>2366640000</v>
      </c>
      <c r="C37" s="26">
        <f>'Volume projections'!C42</f>
        <v>2463320000</v>
      </c>
      <c r="D37" s="26">
        <f>'Volume projections'!D42</f>
        <v>2945570000</v>
      </c>
      <c r="E37" s="26">
        <f>'Volume projections'!E42</f>
        <v>2744210000</v>
      </c>
      <c r="F37" s="26">
        <f>'Volume projections'!F42</f>
        <v>2482058803.5138993</v>
      </c>
      <c r="G37" s="26">
        <f>'Volume projections'!G42</f>
        <v>2244950606.5865402</v>
      </c>
      <c r="H37" s="26">
        <f>'Volume projections'!H42</f>
        <v>2030493080.5339208</v>
      </c>
      <c r="I37" s="26">
        <f>'Volume projections'!I42</f>
        <v>1836522433.0547864</v>
      </c>
      <c r="J37" s="26">
        <f>'Volume projections'!J42</f>
        <v>1661081576.4152157</v>
      </c>
      <c r="K37" s="26">
        <f>'Volume projections'!K42</f>
        <v>1502400381.2011955</v>
      </c>
      <c r="L37" s="26">
        <f>'Volume projections'!L42</f>
        <v>1358877816.4072959</v>
      </c>
      <c r="M37" s="26">
        <f>'Volume projections'!M42</f>
        <v>1229065795.6619477</v>
      </c>
      <c r="N37" s="26">
        <f>'Volume projections'!N42</f>
        <v>1111654566.6040692</v>
      </c>
      <c r="O37" s="26">
        <f>'Volume projections'!O42</f>
        <v>1005459495.9955902</v>
      </c>
      <c r="P37" s="26">
        <f>'Volume projections'!P42</f>
        <v>909409117.23683798</v>
      </c>
      <c r="Q37" s="26">
        <f>'Volume projections'!Q42</f>
        <v>822534319.68890774</v>
      </c>
      <c r="R37" s="26">
        <f>'Volume projections'!R42</f>
        <v>743958570.7275207</v>
      </c>
      <c r="S37" s="26">
        <f>'Volume projections'!S42</f>
        <v>672889071.87272871</v>
      </c>
      <c r="T37" s="26">
        <f>'Volume projections'!T42</f>
        <v>608608759.76328468</v>
      </c>
      <c r="U37" s="26">
        <f>'Volume projections'!U42</f>
        <v>550469071.26864803</v>
      </c>
    </row>
    <row r="38" spans="1:21" x14ac:dyDescent="0.35">
      <c r="A38" s="17" t="str">
        <f>'Volume projections'!A43</f>
        <v>High growth scenario</v>
      </c>
      <c r="B38" s="26">
        <f>'Volume projections'!B43</f>
        <v>2366640000</v>
      </c>
      <c r="C38" s="26">
        <f>'Volume projections'!C43</f>
        <v>2463320000</v>
      </c>
      <c r="D38" s="26">
        <f>'Volume projections'!D43</f>
        <v>2945570000</v>
      </c>
      <c r="E38" s="26">
        <f>'Volume projections'!E43</f>
        <v>2744210000</v>
      </c>
      <c r="F38" s="26">
        <f>'Volume projections'!F43</f>
        <v>2883007175.326405</v>
      </c>
      <c r="G38" s="26">
        <f>'Volume projections'!G43</f>
        <v>3028824460.5855737</v>
      </c>
      <c r="H38" s="26">
        <f>'Volume projections'!H43</f>
        <v>3182016920.232904</v>
      </c>
      <c r="I38" s="26">
        <f>'Volume projections'!I43</f>
        <v>3342957577.2413526</v>
      </c>
      <c r="J38" s="26">
        <f>'Volume projections'!J43</f>
        <v>3512038321.4107504</v>
      </c>
      <c r="K38" s="26">
        <f>'Volume projections'!K43</f>
        <v>3689670863.6177611</v>
      </c>
      <c r="L38" s="26">
        <f>'Volume projections'!L43</f>
        <v>3876287738.3300767</v>
      </c>
      <c r="M38" s="26">
        <f>'Volume projections'!M43</f>
        <v>4072343356.8259621</v>
      </c>
      <c r="N38" s="26">
        <f>'Volume projections'!N43</f>
        <v>4278315113.6837444</v>
      </c>
      <c r="O38" s="26">
        <f>'Volume projections'!O43</f>
        <v>4494704549.2355318</v>
      </c>
      <c r="P38" s="26">
        <f>'Volume projections'!P43</f>
        <v>4722038570.8157444</v>
      </c>
      <c r="Q38" s="26">
        <f>'Volume projections'!Q43</f>
        <v>4960870735.7781782</v>
      </c>
      <c r="R38" s="26">
        <f>'Volume projections'!R43</f>
        <v>5211782599.405756</v>
      </c>
      <c r="S38" s="26">
        <f>'Volume projections'!S43</f>
        <v>5475385130.9951124</v>
      </c>
      <c r="T38" s="26">
        <f>'Volume projections'!T43</f>
        <v>5752320201.5641727</v>
      </c>
      <c r="U38" s="26">
        <f>'Volume projections'!U43</f>
        <v>6043262146.8052893</v>
      </c>
    </row>
    <row r="40" spans="1:21" x14ac:dyDescent="0.35">
      <c r="A40" s="21" t="str">
        <f>'Volume projections'!A45</f>
        <v xml:space="preserve">International incoming fixed telephone traffic </v>
      </c>
    </row>
    <row r="41" spans="1:21" x14ac:dyDescent="0.35">
      <c r="A41" s="17"/>
      <c r="B41" s="52">
        <f>'Volume projections'!B47</f>
        <v>2018</v>
      </c>
      <c r="C41" s="52">
        <f>'Volume projections'!C47</f>
        <v>2019</v>
      </c>
      <c r="D41" s="52">
        <f>'Volume projections'!D47</f>
        <v>2020</v>
      </c>
      <c r="E41" s="52">
        <f>'Volume projections'!E47</f>
        <v>2021</v>
      </c>
      <c r="F41" s="52">
        <f>'Volume projections'!F47</f>
        <v>2022</v>
      </c>
      <c r="G41" s="52">
        <f>'Volume projections'!G47</f>
        <v>2023</v>
      </c>
      <c r="H41" s="52">
        <f>'Volume projections'!H47</f>
        <v>2024</v>
      </c>
      <c r="I41" s="52">
        <f>'Volume projections'!I47</f>
        <v>2025</v>
      </c>
      <c r="J41" s="52">
        <f>'Volume projections'!J47</f>
        <v>2026</v>
      </c>
      <c r="K41" s="52">
        <f>'Volume projections'!K47</f>
        <v>2027</v>
      </c>
      <c r="L41" s="52">
        <f>'Volume projections'!L47</f>
        <v>2028</v>
      </c>
      <c r="M41" s="52">
        <f>'Volume projections'!M47</f>
        <v>2029</v>
      </c>
      <c r="N41" s="52">
        <f>'Volume projections'!N47</f>
        <v>2030</v>
      </c>
      <c r="O41" s="52">
        <f>'Volume projections'!O47</f>
        <v>2031</v>
      </c>
      <c r="P41" s="52">
        <f>'Volume projections'!P47</f>
        <v>2032</v>
      </c>
      <c r="Q41" s="52">
        <f>'Volume projections'!Q47</f>
        <v>2033</v>
      </c>
      <c r="R41" s="52">
        <f>'Volume projections'!R47</f>
        <v>2034</v>
      </c>
      <c r="S41" s="52">
        <f>'Volume projections'!S47</f>
        <v>2035</v>
      </c>
      <c r="T41" s="52">
        <f>'Volume projections'!T47</f>
        <v>2036</v>
      </c>
      <c r="U41" s="52">
        <f>'Volume projections'!U47</f>
        <v>2037</v>
      </c>
    </row>
    <row r="42" spans="1:21" x14ac:dyDescent="0.35">
      <c r="A42" s="17" t="str">
        <f>'Volume projections'!A48</f>
        <v>Low growth scenario</v>
      </c>
      <c r="B42" s="26">
        <f>'Volume projections'!B48</f>
        <v>360749000</v>
      </c>
      <c r="C42" s="26">
        <f>'Volume projections'!C48</f>
        <v>158098000</v>
      </c>
      <c r="D42" s="26">
        <f>'Volume projections'!D48</f>
        <v>103175000</v>
      </c>
      <c r="E42" s="26">
        <f>'Volume projections'!E48</f>
        <v>45128600</v>
      </c>
      <c r="F42" s="26">
        <f>'Volume projections'!F48</f>
        <v>39039906.724273279</v>
      </c>
      <c r="G42" s="26">
        <f>'Volume projections'!G48</f>
        <v>33772692.196078718</v>
      </c>
      <c r="H42" s="26">
        <f>'Volume projections'!H48</f>
        <v>29216123.548315372</v>
      </c>
      <c r="I42" s="26">
        <f>'Volume projections'!I48</f>
        <v>25274321.343251865</v>
      </c>
      <c r="J42" s="26">
        <f>'Volume projections'!J48</f>
        <v>21864342.074867424</v>
      </c>
      <c r="K42" s="26">
        <f>'Volume projections'!K48</f>
        <v>18914432.869409375</v>
      </c>
      <c r="L42" s="26">
        <f>'Volume projections'!L48</f>
        <v>16362521.659530111</v>
      </c>
      <c r="M42" s="26">
        <f>'Volume projections'!M48</f>
        <v>14154911.062207928</v>
      </c>
      <c r="N42" s="26">
        <f>'Volume projections'!N48</f>
        <v>12245148.476996439</v>
      </c>
      <c r="O42" s="26">
        <f>'Volume projections'!O48</f>
        <v>10593048.629180118</v>
      </c>
      <c r="P42" s="26">
        <f>'Volume projections'!P48</f>
        <v>9163847.9901632834</v>
      </c>
      <c r="Q42" s="26">
        <f>'Volume projections'!Q48</f>
        <v>7927473.2823839812</v>
      </c>
      <c r="R42" s="26">
        <f>'Volume projections'!R48</f>
        <v>6857908.6766139241</v>
      </c>
      <c r="S42" s="26">
        <f>'Volume projections'!S48</f>
        <v>5932648.3661933225</v>
      </c>
      <c r="T42" s="26">
        <f>'Volume projections'!T48</f>
        <v>5132222.9992532358</v>
      </c>
      <c r="U42" s="26">
        <f>'Volume projections'!U48</f>
        <v>4439790.0040997583</v>
      </c>
    </row>
    <row r="43" spans="1:21" x14ac:dyDescent="0.35">
      <c r="A43" s="17" t="str">
        <f>'Volume projections'!A49</f>
        <v>Medium growth scenario</v>
      </c>
      <c r="B43" s="26">
        <f>'Volume projections'!B49</f>
        <v>360749000</v>
      </c>
      <c r="C43" s="26">
        <f>'Volume projections'!C49</f>
        <v>158098000</v>
      </c>
      <c r="D43" s="26">
        <f>'Volume projections'!D49</f>
        <v>103175000</v>
      </c>
      <c r="E43" s="26">
        <f>'Volume projections'!E49</f>
        <v>45128600</v>
      </c>
      <c r="F43" s="26">
        <f>'Volume projections'!F49</f>
        <v>40817517.216341816</v>
      </c>
      <c r="G43" s="26">
        <f>'Volume projections'!G49</f>
        <v>36918267.167746402</v>
      </c>
      <c r="H43" s="26">
        <f>'Volume projections'!H49</f>
        <v>33391507.950988851</v>
      </c>
      <c r="I43" s="26">
        <f>'Volume projections'!I49</f>
        <v>30201655.949200772</v>
      </c>
      <c r="J43" s="26">
        <f>'Volume projections'!J49</f>
        <v>27316526.807136375</v>
      </c>
      <c r="K43" s="26">
        <f>'Volume projections'!K49</f>
        <v>24707010.703654703</v>
      </c>
      <c r="L43" s="26">
        <f>'Volume projections'!L49</f>
        <v>22346778.645044766</v>
      </c>
      <c r="M43" s="26">
        <f>'Volume projections'!M49</f>
        <v>20212016.815808475</v>
      </c>
      <c r="N43" s="26">
        <f>'Volume projections'!N49</f>
        <v>18281186.306604963</v>
      </c>
      <c r="O43" s="26">
        <f>'Volume projections'!O49</f>
        <v>16534805.795105549</v>
      </c>
      <c r="P43" s="26">
        <f>'Volume projections'!P49</f>
        <v>14955254.987094417</v>
      </c>
      <c r="Q43" s="26">
        <f>'Volume projections'!Q49</f>
        <v>13526596.83461282</v>
      </c>
      <c r="R43" s="26">
        <f>'Volume projections'!R49</f>
        <v>12234416.737397647</v>
      </c>
      <c r="S43" s="26">
        <f>'Volume projections'!S49</f>
        <v>11065677.105219945</v>
      </c>
      <c r="T43" s="26">
        <f>'Volume projections'!T49</f>
        <v>10008585.813714463</v>
      </c>
      <c r="U43" s="26">
        <f>'Volume projections'!U49</f>
        <v>9052477.2264711186</v>
      </c>
    </row>
    <row r="44" spans="1:21" x14ac:dyDescent="0.35">
      <c r="A44" s="17" t="str">
        <f>'Volume projections'!A50</f>
        <v>High growth scenario</v>
      </c>
      <c r="B44" s="26">
        <f>'Volume projections'!B50</f>
        <v>360749000</v>
      </c>
      <c r="C44" s="26">
        <f>'Volume projections'!C50</f>
        <v>158098000</v>
      </c>
      <c r="D44" s="26">
        <f>'Volume projections'!D50</f>
        <v>103175000</v>
      </c>
      <c r="E44" s="26">
        <f>'Volume projections'!E50</f>
        <v>45128600</v>
      </c>
      <c r="F44" s="26">
        <f>'Volume projections'!F50</f>
        <v>47411122.914221287</v>
      </c>
      <c r="G44" s="26">
        <f>'Volume projections'!G50</f>
        <v>49809091.706531979</v>
      </c>
      <c r="H44" s="26">
        <f>'Volume projections'!H50</f>
        <v>52328345.420511782</v>
      </c>
      <c r="I44" s="26">
        <f>'Volume projections'!I50</f>
        <v>54975018.427997164</v>
      </c>
      <c r="J44" s="26">
        <f>'Volume projections'!J50</f>
        <v>57755555.366250098</v>
      </c>
      <c r="K44" s="26">
        <f>'Volume projections'!K50</f>
        <v>60676726.830621742</v>
      </c>
      <c r="L44" s="26">
        <f>'Volume projections'!L50</f>
        <v>63745645.860922702</v>
      </c>
      <c r="M44" s="26">
        <f>'Volume projections'!M50</f>
        <v>66969785.261644013</v>
      </c>
      <c r="N44" s="26">
        <f>'Volume projections'!N50</f>
        <v>70356995.798203573</v>
      </c>
      <c r="O44" s="26">
        <f>'Volume projections'!O50</f>
        <v>73915525.313525796</v>
      </c>
      <c r="P44" s="26">
        <f>'Volume projections'!P50</f>
        <v>77654038.811503276</v>
      </c>
      <c r="Q44" s="26">
        <f>'Volume projections'!Q50</f>
        <v>81581639.556243539</v>
      </c>
      <c r="R44" s="26">
        <f>'Volume projections'!R50</f>
        <v>85707891.238477603</v>
      </c>
      <c r="S44" s="26">
        <f>'Volume projections'!S50</f>
        <v>90042841.263105258</v>
      </c>
      <c r="T44" s="26">
        <f>'Volume projections'!T50</f>
        <v>94597045.214582324</v>
      </c>
      <c r="U44" s="26">
        <f>'Volume projections'!U50</f>
        <v>99381592.559722915</v>
      </c>
    </row>
    <row r="46" spans="1:21" x14ac:dyDescent="0.35">
      <c r="A46" s="21" t="str">
        <f>'Volume projections'!A52</f>
        <v>International outgoing fixed telephone traffic</v>
      </c>
    </row>
    <row r="47" spans="1:21" x14ac:dyDescent="0.35">
      <c r="A47" s="17"/>
      <c r="B47" s="29">
        <f>'Volume projections'!B54</f>
        <v>2018</v>
      </c>
      <c r="C47" s="29">
        <f>'Volume projections'!C54</f>
        <v>2019</v>
      </c>
      <c r="D47" s="29">
        <f>'Volume projections'!D54</f>
        <v>2020</v>
      </c>
      <c r="E47" s="29">
        <f>'Volume projections'!E54</f>
        <v>2021</v>
      </c>
      <c r="F47" s="29">
        <f>'Volume projections'!F54</f>
        <v>2022</v>
      </c>
      <c r="G47" s="29">
        <f>'Volume projections'!G54</f>
        <v>2023</v>
      </c>
      <c r="H47" s="29">
        <f>'Volume projections'!H54</f>
        <v>2024</v>
      </c>
      <c r="I47" s="29">
        <f>'Volume projections'!I54</f>
        <v>2025</v>
      </c>
      <c r="J47" s="29">
        <f>'Volume projections'!J54</f>
        <v>2026</v>
      </c>
      <c r="K47" s="29">
        <f>'Volume projections'!K54</f>
        <v>2027</v>
      </c>
      <c r="L47" s="29">
        <f>'Volume projections'!L54</f>
        <v>2028</v>
      </c>
      <c r="M47" s="29">
        <f>'Volume projections'!M54</f>
        <v>2029</v>
      </c>
      <c r="N47" s="29">
        <f>'Volume projections'!N54</f>
        <v>2030</v>
      </c>
      <c r="O47" s="29">
        <f>'Volume projections'!O54</f>
        <v>2031</v>
      </c>
      <c r="P47" s="29">
        <f>'Volume projections'!P54</f>
        <v>2032</v>
      </c>
      <c r="Q47" s="29">
        <f>'Volume projections'!Q54</f>
        <v>2033</v>
      </c>
      <c r="R47" s="29">
        <f>'Volume projections'!R54</f>
        <v>2034</v>
      </c>
      <c r="S47" s="29">
        <f>'Volume projections'!S54</f>
        <v>2035</v>
      </c>
      <c r="T47" s="29">
        <f>'Volume projections'!T54</f>
        <v>2036</v>
      </c>
      <c r="U47" s="29">
        <f>'Volume projections'!U54</f>
        <v>2037</v>
      </c>
    </row>
    <row r="48" spans="1:21" x14ac:dyDescent="0.35">
      <c r="A48" s="17" t="str">
        <f>'Volume projections'!A55</f>
        <v>Low growth scenario</v>
      </c>
      <c r="B48" s="26">
        <f>'Volume projections'!B55</f>
        <v>356416000</v>
      </c>
      <c r="C48" s="26">
        <f>'Volume projections'!C55</f>
        <v>79815800</v>
      </c>
      <c r="D48" s="26">
        <f>'Volume projections'!D55</f>
        <v>81615500</v>
      </c>
      <c r="E48" s="26">
        <f>'Volume projections'!E55</f>
        <v>64933600</v>
      </c>
      <c r="F48" s="26">
        <f>'Volume projections'!F55</f>
        <v>56172841.3305813</v>
      </c>
      <c r="G48" s="26">
        <f>'Volume projections'!G55</f>
        <v>48594073.070808679</v>
      </c>
      <c r="H48" s="26">
        <f>'Volume projections'!H55</f>
        <v>42037822.578960806</v>
      </c>
      <c r="I48" s="26">
        <f>'Volume projections'!I55</f>
        <v>36366133.059172653</v>
      </c>
      <c r="J48" s="26">
        <f>'Volume projections'!J55</f>
        <v>31459660.670896307</v>
      </c>
      <c r="K48" s="26">
        <f>'Volume projections'!K55</f>
        <v>27215163.292658761</v>
      </c>
      <c r="L48" s="26">
        <f>'Volume projections'!L55</f>
        <v>23543328.098617375</v>
      </c>
      <c r="M48" s="26">
        <f>'Volume projections'!M55</f>
        <v>20366892.23572157</v>
      </c>
      <c r="N48" s="26">
        <f>'Volume projections'!N55</f>
        <v>17619017.056720033</v>
      </c>
      <c r="O48" s="26">
        <f>'Volume projections'!O55</f>
        <v>15241881.699581418</v>
      </c>
      <c r="P48" s="26">
        <f>'Volume projections'!P55</f>
        <v>13185466.41938962</v>
      </c>
      <c r="Q48" s="26">
        <f>'Volume projections'!Q55</f>
        <v>11406500.071551263</v>
      </c>
      <c r="R48" s="26">
        <f>'Volume projections'!R55</f>
        <v>9867549.599229265</v>
      </c>
      <c r="S48" s="26">
        <f>'Volume projections'!S55</f>
        <v>8536232.365973033</v>
      </c>
      <c r="T48" s="26">
        <f>'Volume projections'!T55</f>
        <v>7384534.7594277197</v>
      </c>
      <c r="U48" s="26">
        <f>'Volume projections'!U55</f>
        <v>6388222.7281637806</v>
      </c>
    </row>
    <row r="49" spans="1:21" x14ac:dyDescent="0.35">
      <c r="A49" s="17" t="str">
        <f>'Volume projections'!A56</f>
        <v>Medium growth scenario</v>
      </c>
      <c r="B49" s="26">
        <f>'Volume projections'!B56</f>
        <v>356416000</v>
      </c>
      <c r="C49" s="26">
        <f>'Volume projections'!C56</f>
        <v>79815800</v>
      </c>
      <c r="D49" s="26">
        <f>'Volume projections'!D56</f>
        <v>81615500</v>
      </c>
      <c r="E49" s="26">
        <f>'Volume projections'!E56</f>
        <v>64933600</v>
      </c>
      <c r="F49" s="26">
        <f>'Volume projections'!F56</f>
        <v>58730568.551186003</v>
      </c>
      <c r="G49" s="26">
        <f>'Volume projections'!G56</f>
        <v>53120105.49770163</v>
      </c>
      <c r="H49" s="26">
        <f>'Volume projections'!H56</f>
        <v>48045603.468450822</v>
      </c>
      <c r="I49" s="26">
        <f>'Volume projections'!I56</f>
        <v>43455862.728802212</v>
      </c>
      <c r="J49" s="26">
        <f>'Volume projections'!J56</f>
        <v>39304574.595353521</v>
      </c>
      <c r="K49" s="26">
        <f>'Volume projections'!K56</f>
        <v>35549854.199483991</v>
      </c>
      <c r="L49" s="26">
        <f>'Volume projections'!L56</f>
        <v>32153817.885462414</v>
      </c>
      <c r="M49" s="26">
        <f>'Volume projections'!M56</f>
        <v>29082200.979223404</v>
      </c>
      <c r="N49" s="26">
        <f>'Volume projections'!N56</f>
        <v>26304012.071248919</v>
      </c>
      <c r="O49" s="26">
        <f>'Volume projections'!O56</f>
        <v>23791220.325404856</v>
      </c>
      <c r="P49" s="26">
        <f>'Volume projections'!P56</f>
        <v>21518472.6588016</v>
      </c>
      <c r="Q49" s="26">
        <f>'Volume projections'!Q56</f>
        <v>19462837.93913427</v>
      </c>
      <c r="R49" s="26">
        <f>'Volume projections'!R56</f>
        <v>17603575.618554167</v>
      </c>
      <c r="S49" s="26">
        <f>'Volume projections'!S56</f>
        <v>15921926.469677981</v>
      </c>
      <c r="T49" s="26">
        <f>'Volume projections'!T56</f>
        <v>14400923.312343158</v>
      </c>
      <c r="U49" s="26">
        <f>'Volume projections'!U56</f>
        <v>13025219.821416685</v>
      </c>
    </row>
    <row r="50" spans="1:21" x14ac:dyDescent="0.35">
      <c r="A50" s="17" t="str">
        <f>'Volume projections'!A57</f>
        <v>High growth scenario</v>
      </c>
      <c r="B50" s="26">
        <f>'Volume projections'!B57</f>
        <v>356416000</v>
      </c>
      <c r="C50" s="26">
        <f>'Volume projections'!C57</f>
        <v>79815800</v>
      </c>
      <c r="D50" s="26">
        <f>'Volume projections'!D57</f>
        <v>81615500</v>
      </c>
      <c r="E50" s="26">
        <f>'Volume projections'!E57</f>
        <v>64933600</v>
      </c>
      <c r="F50" s="26">
        <f>'Volume projections'!F57</f>
        <v>68217823.971115425</v>
      </c>
      <c r="G50" s="26">
        <f>'Volume projections'!G57</f>
        <v>71668158.046898529</v>
      </c>
      <c r="H50" s="26">
        <f>'Volume projections'!H57</f>
        <v>75293003.775817201</v>
      </c>
      <c r="I50" s="26">
        <f>'Volume projections'!I57</f>
        <v>79101187.64145568</v>
      </c>
      <c r="J50" s="26">
        <f>'Volume projections'!J57</f>
        <v>83101982.554963753</v>
      </c>
      <c r="K50" s="26">
        <f>'Volume projections'!K57</f>
        <v>87305130.434555024</v>
      </c>
      <c r="L50" s="26">
        <f>'Volume projections'!L57</f>
        <v>91720865.927035406</v>
      </c>
      <c r="M50" s="26">
        <f>'Volume projections'!M57</f>
        <v>96359941.329123601</v>
      </c>
      <c r="N50" s="26">
        <f>'Volume projections'!N57</f>
        <v>101233652.7692468</v>
      </c>
      <c r="O50" s="26">
        <f>'Volume projections'!O57</f>
        <v>106353867.71356432</v>
      </c>
      <c r="P50" s="26">
        <f>'Volume projections'!P57</f>
        <v>111733053.86319605</v>
      </c>
      <c r="Q50" s="26">
        <f>'Volume projections'!Q57</f>
        <v>117384309.51302047</v>
      </c>
      <c r="R50" s="26">
        <f>'Volume projections'!R57</f>
        <v>123321395.44596574</v>
      </c>
      <c r="S50" s="26">
        <f>'Volume projections'!S57</f>
        <v>129558768.4404562</v>
      </c>
      <c r="T50" s="26">
        <f>'Volume projections'!T57</f>
        <v>136111616.47260502</v>
      </c>
      <c r="U50" s="26">
        <f>'Volume projections'!U57</f>
        <v>142995895.69886997</v>
      </c>
    </row>
  </sheetData>
  <phoneticPr fontId="1" type="noConversion"/>
  <conditionalFormatting sqref="B1:U6 I11:U11 B12:U13 B18:U20 B25:U27 B32:U34 B39:U40 B45:U46 B51:U1048576">
    <cfRule type="cellIs" dxfId="10" priority="1" operator="less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A58C0-C69C-4EE0-8FDF-4B844EDCE6AD}">
  <dimension ref="A1:AT170"/>
  <sheetViews>
    <sheetView topLeftCell="A23" zoomScaleNormal="100" workbookViewId="0">
      <pane xSplit="1" topLeftCell="B1" activePane="topRight" state="frozen"/>
      <selection activeCell="H13" sqref="H13"/>
      <selection pane="topRight" activeCell="C58" sqref="C58"/>
    </sheetView>
  </sheetViews>
  <sheetFormatPr defaultColWidth="8.54296875" defaultRowHeight="14.5" x14ac:dyDescent="0.35"/>
  <cols>
    <col min="1" max="1" width="59.453125" style="12" customWidth="1"/>
    <col min="2" max="2" width="25.453125" style="12" customWidth="1"/>
    <col min="3" max="3" width="52.54296875" style="12" customWidth="1"/>
    <col min="4" max="23" width="19" style="12" customWidth="1"/>
    <col min="24" max="24" width="27.453125" style="12" bestFit="1" customWidth="1"/>
    <col min="25" max="25" width="26.453125" style="12" bestFit="1" customWidth="1"/>
    <col min="26" max="45" width="18.453125" style="12" customWidth="1"/>
    <col min="46" max="46" width="16.54296875" style="12" customWidth="1"/>
    <col min="47" max="16384" width="8.54296875" style="12"/>
  </cols>
  <sheetData>
    <row r="1" spans="1:10" s="18" customFormat="1" ht="18.5" x14ac:dyDescent="0.45">
      <c r="A1" s="89" t="s">
        <v>435</v>
      </c>
      <c r="B1" s="93"/>
      <c r="C1" s="93"/>
      <c r="D1" s="92"/>
      <c r="E1" s="92"/>
      <c r="F1" s="92"/>
      <c r="G1" s="92"/>
      <c r="H1" s="92"/>
      <c r="I1" s="92"/>
      <c r="J1" s="92"/>
    </row>
    <row r="3" spans="1:10" x14ac:dyDescent="0.35">
      <c r="A3" s="12" t="s">
        <v>19</v>
      </c>
    </row>
    <row r="5" spans="1:10" x14ac:dyDescent="0.35">
      <c r="A5" s="84" t="s">
        <v>20</v>
      </c>
      <c r="B5" s="84" t="s">
        <v>21</v>
      </c>
      <c r="C5" s="84" t="s">
        <v>22</v>
      </c>
      <c r="D5" s="84" t="s">
        <v>23</v>
      </c>
      <c r="E5" s="84" t="s">
        <v>24</v>
      </c>
      <c r="F5" s="84"/>
    </row>
    <row r="6" spans="1:10" x14ac:dyDescent="0.35">
      <c r="A6" s="84"/>
      <c r="B6" s="84"/>
      <c r="C6" s="84"/>
      <c r="D6" s="84"/>
    </row>
    <row r="7" spans="1:10" x14ac:dyDescent="0.35">
      <c r="A7" s="84"/>
      <c r="B7" s="84"/>
      <c r="C7" s="84"/>
      <c r="D7" s="84"/>
    </row>
    <row r="8" spans="1:10" x14ac:dyDescent="0.35">
      <c r="A8" s="48" t="s">
        <v>25</v>
      </c>
      <c r="B8" s="49"/>
      <c r="C8" s="49"/>
      <c r="D8" s="49"/>
      <c r="E8" s="49"/>
      <c r="F8" s="86" t="s">
        <v>26</v>
      </c>
    </row>
    <row r="10" spans="1:10" x14ac:dyDescent="0.35">
      <c r="A10" s="130" t="s">
        <v>27</v>
      </c>
      <c r="B10" s="130" t="s">
        <v>28</v>
      </c>
      <c r="C10" s="130"/>
      <c r="D10" s="137">
        <v>60</v>
      </c>
      <c r="E10" s="15" t="s">
        <v>29</v>
      </c>
      <c r="F10" s="84" t="s">
        <v>30</v>
      </c>
    </row>
    <row r="11" spans="1:10" ht="29" x14ac:dyDescent="0.35">
      <c r="A11" s="130" t="s">
        <v>31</v>
      </c>
      <c r="B11" s="130" t="s">
        <v>32</v>
      </c>
      <c r="C11" s="130" t="s">
        <v>33</v>
      </c>
      <c r="D11" s="137">
        <v>60</v>
      </c>
      <c r="E11" s="15" t="s">
        <v>34</v>
      </c>
      <c r="F11" s="84" t="s">
        <v>30</v>
      </c>
    </row>
    <row r="12" spans="1:10" x14ac:dyDescent="0.35">
      <c r="A12" s="130" t="s">
        <v>35</v>
      </c>
      <c r="B12" s="130" t="s">
        <v>36</v>
      </c>
      <c r="C12" s="130"/>
      <c r="D12" s="137">
        <v>365</v>
      </c>
      <c r="E12" s="15"/>
      <c r="F12" s="84" t="s">
        <v>30</v>
      </c>
    </row>
    <row r="13" spans="1:10" x14ac:dyDescent="0.35">
      <c r="A13" s="130" t="s">
        <v>37</v>
      </c>
      <c r="B13" s="130" t="s">
        <v>38</v>
      </c>
      <c r="C13" s="130"/>
      <c r="D13" s="137">
        <v>52</v>
      </c>
      <c r="E13" s="15"/>
      <c r="F13" s="84"/>
    </row>
    <row r="14" spans="1:10" x14ac:dyDescent="0.35">
      <c r="A14" s="130" t="s">
        <v>39</v>
      </c>
      <c r="B14" s="130" t="s">
        <v>40</v>
      </c>
      <c r="C14" s="130"/>
      <c r="D14" s="137">
        <v>5</v>
      </c>
      <c r="E14" s="15"/>
      <c r="F14" s="84" t="s">
        <v>30</v>
      </c>
    </row>
    <row r="15" spans="1:10" x14ac:dyDescent="0.35">
      <c r="A15" s="130" t="s">
        <v>41</v>
      </c>
      <c r="B15" s="130" t="s">
        <v>40</v>
      </c>
      <c r="C15" s="130"/>
      <c r="D15" s="137">
        <v>7</v>
      </c>
      <c r="E15" s="15"/>
      <c r="F15" s="84" t="s">
        <v>30</v>
      </c>
    </row>
    <row r="16" spans="1:10" x14ac:dyDescent="0.35">
      <c r="A16" s="130"/>
      <c r="B16" s="130"/>
      <c r="C16" s="130"/>
      <c r="D16" s="136"/>
      <c r="E16" s="15"/>
    </row>
    <row r="17" spans="1:6" x14ac:dyDescent="0.35">
      <c r="A17" s="130" t="s">
        <v>42</v>
      </c>
      <c r="B17" s="130" t="s">
        <v>43</v>
      </c>
      <c r="C17" s="130"/>
      <c r="D17" s="137">
        <v>2</v>
      </c>
      <c r="E17" s="134" t="s">
        <v>44</v>
      </c>
      <c r="F17" s="84" t="s">
        <v>30</v>
      </c>
    </row>
    <row r="18" spans="1:6" x14ac:dyDescent="0.35">
      <c r="A18" s="130"/>
      <c r="B18" s="130"/>
      <c r="C18" s="130"/>
      <c r="D18" s="136"/>
      <c r="E18" s="134"/>
      <c r="F18" s="84"/>
    </row>
    <row r="19" spans="1:6" x14ac:dyDescent="0.35">
      <c r="A19" s="130"/>
      <c r="B19" s="130"/>
      <c r="C19" s="130"/>
      <c r="D19" s="136"/>
      <c r="E19" s="134"/>
      <c r="F19" s="84"/>
    </row>
    <row r="20" spans="1:6" x14ac:dyDescent="0.35">
      <c r="A20" s="146" t="s">
        <v>45</v>
      </c>
      <c r="B20" s="147"/>
      <c r="C20" s="147"/>
      <c r="D20" s="148"/>
      <c r="E20" s="156"/>
      <c r="F20" s="85"/>
    </row>
    <row r="21" spans="1:6" x14ac:dyDescent="0.35">
      <c r="A21" s="130"/>
      <c r="B21" s="130"/>
      <c r="C21" s="130"/>
      <c r="D21" s="136"/>
      <c r="E21" s="134"/>
      <c r="F21" s="21" t="s">
        <v>46</v>
      </c>
    </row>
    <row r="22" spans="1:6" x14ac:dyDescent="0.35">
      <c r="A22" s="130" t="s">
        <v>47</v>
      </c>
      <c r="B22" s="130" t="s">
        <v>48</v>
      </c>
      <c r="C22" s="130"/>
      <c r="D22" s="160">
        <v>3.0800000000000001E-2</v>
      </c>
      <c r="E22" s="134" t="s">
        <v>49</v>
      </c>
      <c r="F22" s="84" t="s">
        <v>428</v>
      </c>
    </row>
    <row r="23" spans="1:6" x14ac:dyDescent="0.35">
      <c r="A23" s="130" t="s">
        <v>50</v>
      </c>
      <c r="B23" s="130"/>
      <c r="C23" s="130"/>
      <c r="D23" s="157">
        <v>4.17</v>
      </c>
      <c r="E23" s="15" t="s">
        <v>51</v>
      </c>
      <c r="F23" s="84" t="s">
        <v>428</v>
      </c>
    </row>
    <row r="24" spans="1:6" x14ac:dyDescent="0.35">
      <c r="A24" s="130" t="s">
        <v>52</v>
      </c>
      <c r="B24" s="130"/>
      <c r="C24" s="130"/>
      <c r="D24" s="175">
        <v>0.08</v>
      </c>
      <c r="E24" s="134" t="s">
        <v>53</v>
      </c>
      <c r="F24" s="84" t="s">
        <v>54</v>
      </c>
    </row>
    <row r="25" spans="1:6" x14ac:dyDescent="0.35">
      <c r="A25" s="176" t="s">
        <v>55</v>
      </c>
      <c r="B25" s="130"/>
      <c r="C25" s="130"/>
      <c r="D25" s="136"/>
      <c r="E25" s="134"/>
      <c r="F25" s="84"/>
    </row>
    <row r="26" spans="1:6" x14ac:dyDescent="0.35">
      <c r="A26" s="130"/>
      <c r="B26" s="130"/>
      <c r="C26" s="130"/>
      <c r="D26" s="136"/>
      <c r="E26" s="134"/>
      <c r="F26" s="84"/>
    </row>
    <row r="27" spans="1:6" x14ac:dyDescent="0.35">
      <c r="A27" s="146" t="s">
        <v>56</v>
      </c>
      <c r="B27" s="146"/>
      <c r="C27" s="146"/>
      <c r="D27" s="158"/>
      <c r="E27" s="159"/>
      <c r="F27" s="86"/>
    </row>
    <row r="28" spans="1:6" x14ac:dyDescent="0.35">
      <c r="A28" s="130"/>
      <c r="B28" s="130"/>
      <c r="C28" s="130"/>
      <c r="D28" s="136"/>
      <c r="E28" s="134"/>
    </row>
    <row r="29" spans="1:6" x14ac:dyDescent="0.35">
      <c r="A29" s="130" t="s">
        <v>57</v>
      </c>
      <c r="B29" s="130"/>
      <c r="C29" s="130"/>
      <c r="D29" s="227">
        <v>0.93</v>
      </c>
      <c r="E29" s="134"/>
      <c r="F29" s="84" t="s">
        <v>428</v>
      </c>
    </row>
    <row r="30" spans="1:6" x14ac:dyDescent="0.35">
      <c r="A30" s="130" t="s">
        <v>58</v>
      </c>
      <c r="B30" s="130"/>
      <c r="C30" s="130"/>
      <c r="D30" s="162">
        <f>D13*D14</f>
        <v>260</v>
      </c>
      <c r="E30" s="134"/>
    </row>
    <row r="31" spans="1:6" x14ac:dyDescent="0.35">
      <c r="A31" s="130"/>
      <c r="B31" s="130"/>
      <c r="C31" s="130"/>
      <c r="D31" s="136"/>
      <c r="E31" s="134"/>
    </row>
    <row r="32" spans="1:6" x14ac:dyDescent="0.35">
      <c r="A32" s="130" t="s">
        <v>59</v>
      </c>
      <c r="B32" s="130"/>
      <c r="C32" s="130"/>
      <c r="D32" s="228">
        <v>7.85E-2</v>
      </c>
      <c r="E32" s="134"/>
      <c r="F32" s="84" t="s">
        <v>428</v>
      </c>
    </row>
    <row r="33" spans="1:6" x14ac:dyDescent="0.35">
      <c r="A33" s="130"/>
      <c r="B33" s="130"/>
      <c r="C33" s="130"/>
      <c r="D33" s="161"/>
      <c r="E33" s="134"/>
    </row>
    <row r="34" spans="1:6" x14ac:dyDescent="0.35">
      <c r="A34" s="130" t="s">
        <v>60</v>
      </c>
      <c r="B34" s="130"/>
      <c r="C34" s="130"/>
      <c r="D34" s="236">
        <f>D29*D32/D30</f>
        <v>2.8078846153846155E-4</v>
      </c>
      <c r="E34" s="15" t="s">
        <v>61</v>
      </c>
      <c r="F34" s="84" t="s">
        <v>428</v>
      </c>
    </row>
    <row r="35" spans="1:6" x14ac:dyDescent="0.35">
      <c r="A35" s="130"/>
      <c r="B35" s="130"/>
      <c r="C35" s="130"/>
      <c r="D35" s="136"/>
      <c r="E35" s="134"/>
    </row>
    <row r="36" spans="1:6" x14ac:dyDescent="0.35">
      <c r="A36" s="130" t="s">
        <v>445</v>
      </c>
      <c r="B36" s="130"/>
      <c r="C36" s="130"/>
      <c r="D36" s="227">
        <f>AVERAGE([1]!successful_calls)</f>
        <v>0.9617259259259261</v>
      </c>
      <c r="E36" s="134" t="s">
        <v>447</v>
      </c>
      <c r="F36" s="84" t="s">
        <v>446</v>
      </c>
    </row>
    <row r="37" spans="1:6" x14ac:dyDescent="0.35">
      <c r="A37" s="130"/>
      <c r="B37" s="130"/>
      <c r="C37" s="130"/>
      <c r="D37" s="136"/>
    </row>
    <row r="38" spans="1:6" x14ac:dyDescent="0.35">
      <c r="A38" s="146" t="s">
        <v>62</v>
      </c>
      <c r="B38" s="146"/>
      <c r="C38" s="146"/>
      <c r="D38" s="158"/>
      <c r="E38" s="48"/>
      <c r="F38" s="48"/>
    </row>
    <row r="39" spans="1:6" x14ac:dyDescent="0.35">
      <c r="A39" s="130"/>
      <c r="B39" s="167" t="s">
        <v>63</v>
      </c>
      <c r="C39" s="130"/>
      <c r="D39" s="168" t="s">
        <v>21</v>
      </c>
      <c r="F39" s="21" t="s">
        <v>46</v>
      </c>
    </row>
    <row r="40" spans="1:6" x14ac:dyDescent="0.35">
      <c r="A40" s="130" t="str" cm="1">
        <f t="array" ref="A40:A55">core_elements</f>
        <v>Application server hardware</v>
      </c>
      <c r="B40" s="130" t="s">
        <v>64</v>
      </c>
      <c r="C40" s="130"/>
      <c r="D40" s="162">
        <v>87200</v>
      </c>
      <c r="E40" s="15" t="s">
        <v>65</v>
      </c>
      <c r="F40" s="84" t="s">
        <v>54</v>
      </c>
    </row>
    <row r="41" spans="1:6" x14ac:dyDescent="0.35">
      <c r="A41" s="130" t="str">
        <v>Application server software</v>
      </c>
      <c r="B41" s="130" t="s">
        <v>64</v>
      </c>
      <c r="C41" s="130"/>
      <c r="D41" s="162">
        <v>85000</v>
      </c>
      <c r="E41" s="15" t="s">
        <v>66</v>
      </c>
      <c r="F41" s="84" t="s">
        <v>54</v>
      </c>
    </row>
    <row r="42" spans="1:6" x14ac:dyDescent="0.35">
      <c r="A42" s="130" t="str">
        <v>Charging data function hardware</v>
      </c>
      <c r="B42" s="163" t="s">
        <v>67</v>
      </c>
      <c r="C42" s="130"/>
      <c r="D42" s="162">
        <v>10760000</v>
      </c>
      <c r="E42" s="15" t="s">
        <v>68</v>
      </c>
      <c r="F42" s="84" t="s">
        <v>428</v>
      </c>
    </row>
    <row r="43" spans="1:6" x14ac:dyDescent="0.35">
      <c r="A43" s="130" t="str">
        <v>Charging data function software</v>
      </c>
      <c r="B43" s="163" t="s">
        <v>67</v>
      </c>
      <c r="C43" s="130"/>
      <c r="D43" s="162">
        <v>10000</v>
      </c>
      <c r="E43" s="15" t="s">
        <v>69</v>
      </c>
      <c r="F43" s="84" t="s">
        <v>428</v>
      </c>
    </row>
    <row r="44" spans="1:6" x14ac:dyDescent="0.35">
      <c r="A44" s="130" t="str">
        <v>Proxy - Call session control function hardware</v>
      </c>
      <c r="B44" s="130" t="s">
        <v>70</v>
      </c>
      <c r="C44" s="130"/>
      <c r="D44" s="162">
        <v>20000000</v>
      </c>
      <c r="E44" s="15" t="s">
        <v>71</v>
      </c>
      <c r="F44" s="84" t="s">
        <v>54</v>
      </c>
    </row>
    <row r="45" spans="1:6" x14ac:dyDescent="0.35">
      <c r="A45" s="130" t="str">
        <v>Proxy - Call session control function software</v>
      </c>
      <c r="B45" s="130" t="s">
        <v>70</v>
      </c>
      <c r="C45" s="130"/>
      <c r="D45" s="162">
        <v>1000</v>
      </c>
      <c r="E45" s="15" t="s">
        <v>72</v>
      </c>
      <c r="F45" s="84" t="s">
        <v>54</v>
      </c>
    </row>
    <row r="46" spans="1:6" x14ac:dyDescent="0.35">
      <c r="A46" s="130" t="str">
        <v>Interrogating - Call session control function hardware</v>
      </c>
      <c r="B46" s="130" t="s">
        <v>70</v>
      </c>
      <c r="C46" s="130"/>
      <c r="D46" s="170">
        <v>20000000</v>
      </c>
      <c r="E46" s="15" t="s">
        <v>73</v>
      </c>
      <c r="F46" s="84" t="s">
        <v>54</v>
      </c>
    </row>
    <row r="47" spans="1:6" x14ac:dyDescent="0.35">
      <c r="A47" s="130" t="str">
        <v>Interrogating - Call session control function software</v>
      </c>
      <c r="B47" s="130" t="s">
        <v>70</v>
      </c>
      <c r="C47" s="130"/>
      <c r="D47" s="170">
        <v>1000</v>
      </c>
      <c r="E47" s="15" t="s">
        <v>74</v>
      </c>
      <c r="F47" s="84" t="s">
        <v>54</v>
      </c>
    </row>
    <row r="48" spans="1:6" x14ac:dyDescent="0.35">
      <c r="A48" s="130" t="str">
        <v>Serving - Call session control function hardware</v>
      </c>
      <c r="B48" s="130" t="s">
        <v>70</v>
      </c>
      <c r="C48" s="130"/>
      <c r="D48" s="170">
        <v>20000000</v>
      </c>
      <c r="E48" s="15" t="s">
        <v>75</v>
      </c>
      <c r="F48" s="84" t="s">
        <v>54</v>
      </c>
    </row>
    <row r="49" spans="1:46" x14ac:dyDescent="0.35">
      <c r="A49" s="130" t="str">
        <v>Serving - Call session control function software</v>
      </c>
      <c r="B49" s="130" t="s">
        <v>70</v>
      </c>
      <c r="C49" s="130"/>
      <c r="D49" s="170">
        <v>1000</v>
      </c>
      <c r="E49" s="15" t="s">
        <v>76</v>
      </c>
      <c r="F49" s="84" t="s">
        <v>54</v>
      </c>
    </row>
    <row r="50" spans="1:46" x14ac:dyDescent="0.35">
      <c r="A50" s="130" t="str">
        <v>Media resource function - hardware</v>
      </c>
      <c r="B50" s="163" t="s">
        <v>438</v>
      </c>
      <c r="C50" s="130"/>
      <c r="D50" s="170">
        <v>10800</v>
      </c>
      <c r="E50" s="15" t="s">
        <v>77</v>
      </c>
      <c r="F50" s="84" t="s">
        <v>54</v>
      </c>
    </row>
    <row r="51" spans="1:46" x14ac:dyDescent="0.35">
      <c r="A51" s="130" t="str">
        <v>Media resource function - software</v>
      </c>
      <c r="B51" s="163" t="s">
        <v>438</v>
      </c>
      <c r="C51" s="130"/>
      <c r="D51" s="170">
        <v>1</v>
      </c>
      <c r="E51" s="15" t="s">
        <v>78</v>
      </c>
      <c r="F51" s="84" t="s">
        <v>54</v>
      </c>
    </row>
    <row r="52" spans="1:46" x14ac:dyDescent="0.35">
      <c r="A52" s="130" t="str">
        <v>Access session border controller - hardware</v>
      </c>
      <c r="B52" s="163" t="s">
        <v>438</v>
      </c>
      <c r="C52" s="130"/>
      <c r="D52" s="170">
        <v>32000</v>
      </c>
      <c r="E52" s="15" t="s">
        <v>79</v>
      </c>
      <c r="F52" s="84" t="s">
        <v>54</v>
      </c>
    </row>
    <row r="53" spans="1:46" x14ac:dyDescent="0.35">
      <c r="A53" s="130" t="str">
        <v>Access session border controller - software</v>
      </c>
      <c r="B53" s="163" t="s">
        <v>438</v>
      </c>
      <c r="C53" s="130"/>
      <c r="D53" s="170">
        <v>16000</v>
      </c>
      <c r="E53" s="15" t="s">
        <v>80</v>
      </c>
      <c r="F53" s="84" t="s">
        <v>54</v>
      </c>
    </row>
    <row r="54" spans="1:46" x14ac:dyDescent="0.35">
      <c r="A54" s="130" t="str">
        <v>Internet exchange point session border controller - hardware</v>
      </c>
      <c r="B54" s="163" t="s">
        <v>438</v>
      </c>
      <c r="C54" s="130"/>
      <c r="D54" s="170">
        <v>32000</v>
      </c>
      <c r="E54" s="15" t="s">
        <v>81</v>
      </c>
      <c r="F54" s="84" t="s">
        <v>54</v>
      </c>
    </row>
    <row r="55" spans="1:46" x14ac:dyDescent="0.35">
      <c r="A55" s="130" t="str">
        <v>Internet exchange point session border controller - software</v>
      </c>
      <c r="B55" s="163" t="s">
        <v>438</v>
      </c>
      <c r="C55" s="130"/>
      <c r="D55" s="170">
        <v>16000</v>
      </c>
      <c r="E55" s="15" t="s">
        <v>82</v>
      </c>
      <c r="F55" s="84" t="s">
        <v>54</v>
      </c>
    </row>
    <row r="56" spans="1:46" x14ac:dyDescent="0.35">
      <c r="A56" s="83"/>
      <c r="B56" s="130"/>
    </row>
    <row r="57" spans="1:46" x14ac:dyDescent="0.35">
      <c r="A57" s="80" t="s">
        <v>83</v>
      </c>
    </row>
    <row r="58" spans="1:46" x14ac:dyDescent="0.35">
      <c r="A58" s="80" t="s">
        <v>84</v>
      </c>
    </row>
    <row r="59" spans="1:46" x14ac:dyDescent="0.35">
      <c r="A59" s="83"/>
    </row>
    <row r="60" spans="1:46" s="49" customFormat="1" x14ac:dyDescent="0.35">
      <c r="A60" s="48" t="s">
        <v>85</v>
      </c>
    </row>
    <row r="61" spans="1:46" x14ac:dyDescent="0.35">
      <c r="A61" s="2"/>
    </row>
    <row r="62" spans="1:46" x14ac:dyDescent="0.35">
      <c r="A62" s="12" t="s">
        <v>86</v>
      </c>
      <c r="D62" s="75"/>
      <c r="Z62" s="2"/>
      <c r="AA62"/>
      <c r="AB62"/>
      <c r="AC62"/>
      <c r="AD62"/>
      <c r="AE62"/>
      <c r="AF62"/>
      <c r="AG62"/>
      <c r="AH62"/>
      <c r="AI62"/>
      <c r="AJ62"/>
      <c r="AK62"/>
      <c r="AL62"/>
      <c r="AM62"/>
      <c r="AN62"/>
      <c r="AO62"/>
      <c r="AP62"/>
      <c r="AQ62"/>
      <c r="AR62"/>
      <c r="AS62"/>
      <c r="AT62"/>
    </row>
    <row r="63" spans="1:46" x14ac:dyDescent="0.35">
      <c r="Z63"/>
      <c r="AA63"/>
      <c r="AB63"/>
      <c r="AC63"/>
      <c r="AD63"/>
      <c r="AE63"/>
      <c r="AF63"/>
      <c r="AG63"/>
      <c r="AH63"/>
      <c r="AI63"/>
      <c r="AJ63"/>
      <c r="AK63"/>
      <c r="AL63"/>
      <c r="AM63"/>
      <c r="AN63"/>
      <c r="AO63"/>
      <c r="AP63"/>
      <c r="AQ63"/>
      <c r="AR63"/>
      <c r="AS63"/>
      <c r="AT63"/>
    </row>
    <row r="64" spans="1:46" x14ac:dyDescent="0.35">
      <c r="B64" s="84"/>
      <c r="D64" s="52" cm="1">
        <f t="array" ref="D64:W64">years</f>
        <v>2018</v>
      </c>
      <c r="E64" s="52">
        <v>2019</v>
      </c>
      <c r="F64" s="52">
        <v>2020</v>
      </c>
      <c r="G64" s="52">
        <v>2021</v>
      </c>
      <c r="H64" s="52">
        <v>2022</v>
      </c>
      <c r="I64" s="52">
        <v>2023</v>
      </c>
      <c r="J64" s="52">
        <v>2024</v>
      </c>
      <c r="K64" s="52">
        <v>2025</v>
      </c>
      <c r="L64" s="52">
        <v>2026</v>
      </c>
      <c r="M64" s="52">
        <v>2027</v>
      </c>
      <c r="N64" s="52">
        <v>2028</v>
      </c>
      <c r="O64" s="52">
        <v>2029</v>
      </c>
      <c r="P64" s="52">
        <v>2030</v>
      </c>
      <c r="Q64" s="52">
        <v>2031</v>
      </c>
      <c r="R64" s="52">
        <v>2032</v>
      </c>
      <c r="S64" s="52">
        <v>2033</v>
      </c>
      <c r="T64" s="52">
        <v>2034</v>
      </c>
      <c r="U64" s="52">
        <v>2035</v>
      </c>
      <c r="V64" s="52">
        <v>2036</v>
      </c>
      <c r="W64" s="52">
        <v>2037</v>
      </c>
      <c r="Z64" s="234"/>
      <c r="AA64" s="234"/>
      <c r="AB64" s="234"/>
      <c r="AC64" s="234"/>
      <c r="AD64" s="234"/>
      <c r="AE64" s="234"/>
      <c r="AF64" s="234"/>
      <c r="AG64" s="234"/>
      <c r="AH64" s="234"/>
      <c r="AI64" s="234"/>
      <c r="AJ64" s="234"/>
      <c r="AK64" s="234"/>
      <c r="AL64" s="234"/>
      <c r="AM64" s="234"/>
      <c r="AN64" s="234"/>
      <c r="AO64" s="234"/>
      <c r="AP64" s="234"/>
      <c r="AQ64" s="234"/>
      <c r="AR64" s="234"/>
      <c r="AS64" s="234"/>
      <c r="AT64"/>
    </row>
    <row r="65" spans="1:46" x14ac:dyDescent="0.35">
      <c r="A65" s="12" t="str">
        <f>'1 Volumes'!A5</f>
        <v>On-net fixed to fixed traffic</v>
      </c>
      <c r="B65" s="84"/>
      <c r="D65" s="26">
        <f>INDEX('1 Volumes'!B8:B10, MATCH(Summary!$B$18,'1 Volumes'!$A8:$A10,0),1)*share_operator</f>
        <v>1821315000</v>
      </c>
      <c r="E65" s="26">
        <f>INDEX('1 Volumes'!C8:C10, MATCH(Summary!$B$18,'1 Volumes'!$A8:$A10,0),1)*share_operator</f>
        <v>1531977000</v>
      </c>
      <c r="F65" s="26">
        <f>INDEX('1 Volumes'!D8:D10, MATCH(Summary!$B$18,'1 Volumes'!$A8:$A10,0),1)*share_operator</f>
        <v>1331508000</v>
      </c>
      <c r="G65" s="26">
        <f>INDEX('1 Volumes'!E8:E10, MATCH(Summary!$B$18,'1 Volumes'!$A8:$A10,0),1)*share_operator</f>
        <v>1179114000</v>
      </c>
      <c r="H65" s="26">
        <f>INDEX('1 Volumes'!F8:F10, MATCH(Summary!$B$18,'1 Volumes'!$A8:$A10,0),1)*share_operator</f>
        <v>1066474608.009769</v>
      </c>
      <c r="I65" s="26">
        <f>INDEX('1 Volumes'!G8:G10, MATCH(Summary!$B$18,'1 Volumes'!$A8:$A10,0),1)*share_operator</f>
        <v>964595526.41185701</v>
      </c>
      <c r="J65" s="26">
        <f>INDEX('1 Volumes'!H8:H10, MATCH(Summary!$B$18,'1 Volumes'!$A8:$A10,0),1)*share_operator</f>
        <v>872448835.24244642</v>
      </c>
      <c r="K65" s="26">
        <f>INDEX('1 Volumes'!I8:I10, MATCH(Summary!$B$18,'1 Volumes'!$A8:$A10,0),1)*share_operator</f>
        <v>789104810.53890252</v>
      </c>
      <c r="L65" s="26">
        <f>INDEX('1 Volumes'!J8:J10, MATCH(Summary!$B$18,'1 Volumes'!$A8:$A10,0),1)*share_operator</f>
        <v>713722543.78974307</v>
      </c>
      <c r="M65" s="26">
        <f>INDEX('1 Volumes'!K8:K10, MATCH(Summary!$B$18,'1 Volumes'!$A8:$A10,0),1)*share_operator</f>
        <v>645541457.49766469</v>
      </c>
      <c r="N65" s="26">
        <f>INDEX('1 Volumes'!L8:L10, MATCH(Summary!$B$18,'1 Volumes'!$A8:$A10,0),1)*share_operator</f>
        <v>583873631.25098753</v>
      </c>
      <c r="O65" s="26">
        <f>INDEX('1 Volumes'!M8:M10, MATCH(Summary!$B$18,'1 Volumes'!$A8:$A10,0),1)*share_operator</f>
        <v>528096860.87658811</v>
      </c>
      <c r="P65" s="26">
        <f>INDEX('1 Volumes'!N8:N10, MATCH(Summary!$B$18,'1 Volumes'!$A8:$A10,0),1)*share_operator</f>
        <v>477648380.64389771</v>
      </c>
      <c r="Q65" s="26">
        <f>INDEX('1 Volumes'!O8:O10, MATCH(Summary!$B$18,'1 Volumes'!$A8:$A10,0),1)*share_operator</f>
        <v>432019185.17946672</v>
      </c>
      <c r="R65" s="26">
        <f>INDEX('1 Volumes'!P8:P10, MATCH(Summary!$B$18,'1 Volumes'!$A8:$A10,0),1)*share_operator</f>
        <v>390748893.80244112</v>
      </c>
      <c r="S65" s="26">
        <f>INDEX('1 Volumes'!Q8:Q10, MATCH(Summary!$B$18,'1 Volumes'!$A8:$A10,0),1)*share_operator</f>
        <v>353421105.46411055</v>
      </c>
      <c r="T65" s="26">
        <f>INDEX('1 Volumes'!R8:R10, MATCH(Summary!$B$18,'1 Volumes'!$A8:$A10,0),1)*share_operator</f>
        <v>319659197.42469049</v>
      </c>
      <c r="U65" s="26">
        <f>INDEX('1 Volumes'!S8:S10, MATCH(Summary!$B$18,'1 Volumes'!$A8:$A10,0),1)*share_operator</f>
        <v>289122525.27763569</v>
      </c>
      <c r="V65" s="26">
        <f>INDEX('1 Volumes'!T8:T10, MATCH(Summary!$B$18,'1 Volumes'!$A8:$A10,0),1)*share_operator</f>
        <v>261502985.98122069</v>
      </c>
      <c r="W65" s="26">
        <f>INDEX('1 Volumes'!U8:U10, MATCH(Summary!$B$18,'1 Volumes'!$A8:$A10,0),1)*share_operator</f>
        <v>236521909.21972468</v>
      </c>
      <c r="Z65"/>
      <c r="AA65"/>
      <c r="AB65"/>
      <c r="AC65"/>
      <c r="AD65"/>
      <c r="AE65"/>
      <c r="AF65"/>
      <c r="AG65"/>
      <c r="AH65"/>
      <c r="AI65"/>
      <c r="AJ65"/>
      <c r="AK65"/>
      <c r="AL65"/>
      <c r="AM65"/>
      <c r="AN65"/>
      <c r="AO65"/>
      <c r="AP65"/>
      <c r="AQ65"/>
      <c r="AR65"/>
      <c r="AS65"/>
      <c r="AT65"/>
    </row>
    <row r="66" spans="1:46" x14ac:dyDescent="0.35">
      <c r="A66" s="12" t="str">
        <f>'1 Volumes'!A12</f>
        <v>Incoming fixed to fixed traffic</v>
      </c>
      <c r="B66" s="84"/>
      <c r="D66" s="26">
        <f>INDEX('1 Volumes'!B15:B17, MATCH(Summary!$B$18,'1 Volumes'!$A15:$A17,0),1)*share_operator</f>
        <v>1214210000</v>
      </c>
      <c r="E66" s="26">
        <f>INDEX('1 Volumes'!C15:C17, MATCH(Summary!$B$18,'1 Volumes'!$A15:$A17,0),1)*share_operator</f>
        <v>1021318000</v>
      </c>
      <c r="F66" s="26">
        <f>INDEX('1 Volumes'!D15:D17, MATCH(Summary!$B$18,'1 Volumes'!$A15:$A17,0),1)*share_operator</f>
        <v>887672000</v>
      </c>
      <c r="G66" s="26">
        <f>INDEX('1 Volumes'!E15:E17, MATCH(Summary!$B$18,'1 Volumes'!$A15:$A17,0),1)*share_operator</f>
        <v>786076000</v>
      </c>
      <c r="H66" s="26">
        <f>INDEX('1 Volumes'!F15:F17, MATCH(Summary!$B$18,'1 Volumes'!$A15:$A17,0),1)*share_operator</f>
        <v>710983072.00651264</v>
      </c>
      <c r="I66" s="26">
        <f>INDEX('1 Volumes'!G15:G17, MATCH(Summary!$B$18,'1 Volumes'!$A15:$A17,0),1)*share_operator</f>
        <v>643063684.2745713</v>
      </c>
      <c r="J66" s="26">
        <f>INDEX('1 Volumes'!H15:H17, MATCH(Summary!$B$18,'1 Volumes'!$A15:$A17,0),1)*share_operator</f>
        <v>581632556.82829762</v>
      </c>
      <c r="K66" s="26">
        <f>INDEX('1 Volumes'!I15:I17, MATCH(Summary!$B$18,'1 Volumes'!$A15:$A17,0),1)*share_operator</f>
        <v>526069873.69260168</v>
      </c>
      <c r="L66" s="26">
        <f>INDEX('1 Volumes'!J15:J17, MATCH(Summary!$B$18,'1 Volumes'!$A15:$A17,0),1)*share_operator</f>
        <v>475815029.19316202</v>
      </c>
      <c r="M66" s="26">
        <f>INDEX('1 Volumes'!K15:K17, MATCH(Summary!$B$18,'1 Volumes'!$A15:$A17,0),1)*share_operator</f>
        <v>430360971.66510975</v>
      </c>
      <c r="N66" s="26">
        <f>INDEX('1 Volumes'!L15:L17, MATCH(Summary!$B$18,'1 Volumes'!$A15:$A17,0),1)*share_operator</f>
        <v>389249087.50065827</v>
      </c>
      <c r="O66" s="26">
        <f>INDEX('1 Volumes'!M15:M17, MATCH(Summary!$B$18,'1 Volumes'!$A15:$A17,0),1)*share_operator</f>
        <v>352064573.91772532</v>
      </c>
      <c r="P66" s="26">
        <f>INDEX('1 Volumes'!N15:N17, MATCH(Summary!$B$18,'1 Volumes'!$A15:$A17,0),1)*share_operator</f>
        <v>318432253.7625984</v>
      </c>
      <c r="Q66" s="26">
        <f>INDEX('1 Volumes'!O15:O17, MATCH(Summary!$B$18,'1 Volumes'!$A15:$A17,0),1)*share_operator</f>
        <v>288012790.1196444</v>
      </c>
      <c r="R66" s="26">
        <f>INDEX('1 Volumes'!P15:P17, MATCH(Summary!$B$18,'1 Volumes'!$A15:$A17,0),1)*share_operator</f>
        <v>260499262.53496069</v>
      </c>
      <c r="S66" s="26">
        <f>INDEX('1 Volumes'!Q15:Q17, MATCH(Summary!$B$18,'1 Volumes'!$A15:$A17,0),1)*share_operator</f>
        <v>235614070.30940697</v>
      </c>
      <c r="T66" s="26">
        <f>INDEX('1 Volumes'!R15:R17, MATCH(Summary!$B$18,'1 Volumes'!$A15:$A17,0),1)*share_operator</f>
        <v>213106131.61646026</v>
      </c>
      <c r="U66" s="26">
        <f>INDEX('1 Volumes'!S15:S17, MATCH(Summary!$B$18,'1 Volumes'!$A15:$A17,0),1)*share_operator</f>
        <v>192748350.18509042</v>
      </c>
      <c r="V66" s="26">
        <f>INDEX('1 Volumes'!T15:T17, MATCH(Summary!$B$18,'1 Volumes'!$A15:$A17,0),1)*share_operator</f>
        <v>174335323.98748043</v>
      </c>
      <c r="W66" s="26">
        <f>INDEX('1 Volumes'!U15:U17, MATCH(Summary!$B$18,'1 Volumes'!$A15:$A17,0),1)*share_operator</f>
        <v>157681272.81314975</v>
      </c>
      <c r="Z66"/>
      <c r="AA66"/>
      <c r="AB66"/>
      <c r="AC66"/>
      <c r="AD66"/>
      <c r="AE66"/>
      <c r="AF66"/>
      <c r="AG66"/>
      <c r="AH66"/>
      <c r="AI66"/>
      <c r="AJ66"/>
      <c r="AK66"/>
      <c r="AL66"/>
      <c r="AM66"/>
      <c r="AN66"/>
      <c r="AO66"/>
      <c r="AP66"/>
      <c r="AQ66"/>
      <c r="AR66"/>
      <c r="AS66"/>
      <c r="AT66"/>
    </row>
    <row r="67" spans="1:46" x14ac:dyDescent="0.35">
      <c r="A67" s="12" t="str">
        <f>'1 Volumes'!A19</f>
        <v>Off-net fixed to fixed traffic</v>
      </c>
      <c r="B67" s="84"/>
      <c r="D67" s="26">
        <f>INDEX('1 Volumes'!B22:B24, MATCH(Summary!$B$18,'1 Volumes'!$A22:$A24,0),1)*share_operator</f>
        <v>1214210000</v>
      </c>
      <c r="E67" s="26">
        <f>INDEX('1 Volumes'!C22:C24, MATCH(Summary!$B$18,'1 Volumes'!$A22:$A24,0),1)*share_operator</f>
        <v>1021318000</v>
      </c>
      <c r="F67" s="26">
        <f>INDEX('1 Volumes'!D22:D24, MATCH(Summary!$B$18,'1 Volumes'!$A22:$A24,0),1)*share_operator</f>
        <v>887672000</v>
      </c>
      <c r="G67" s="26">
        <f>INDEX('1 Volumes'!E22:E24, MATCH(Summary!$B$18,'1 Volumes'!$A22:$A24,0),1)*share_operator</f>
        <v>786076000</v>
      </c>
      <c r="H67" s="26">
        <f>INDEX('1 Volumes'!F22:F24, MATCH(Summary!$B$18,'1 Volumes'!$A22:$A24,0),1)*share_operator</f>
        <v>710983072.00651264</v>
      </c>
      <c r="I67" s="26">
        <f>INDEX('1 Volumes'!G22:G24, MATCH(Summary!$B$18,'1 Volumes'!$A22:$A24,0),1)*share_operator</f>
        <v>643063684.2745713</v>
      </c>
      <c r="J67" s="26">
        <f>INDEX('1 Volumes'!H22:H24, MATCH(Summary!$B$18,'1 Volumes'!$A22:$A24,0),1)*share_operator</f>
        <v>581632556.82829762</v>
      </c>
      <c r="K67" s="26">
        <f>INDEX('1 Volumes'!I22:I24, MATCH(Summary!$B$18,'1 Volumes'!$A22:$A24,0),1)*share_operator</f>
        <v>526069873.69260168</v>
      </c>
      <c r="L67" s="26">
        <f>INDEX('1 Volumes'!J22:J24, MATCH(Summary!$B$18,'1 Volumes'!$A22:$A24,0),1)*share_operator</f>
        <v>475815029.19316202</v>
      </c>
      <c r="M67" s="26">
        <f>INDEX('1 Volumes'!K22:K24, MATCH(Summary!$B$18,'1 Volumes'!$A22:$A24,0),1)*share_operator</f>
        <v>430360971.66510975</v>
      </c>
      <c r="N67" s="26">
        <f>INDEX('1 Volumes'!L22:L24, MATCH(Summary!$B$18,'1 Volumes'!$A22:$A24,0),1)*share_operator</f>
        <v>389249087.50065827</v>
      </c>
      <c r="O67" s="26">
        <f>INDEX('1 Volumes'!M22:M24, MATCH(Summary!$B$18,'1 Volumes'!$A22:$A24,0),1)*share_operator</f>
        <v>352064573.91772532</v>
      </c>
      <c r="P67" s="26">
        <f>INDEX('1 Volumes'!N22:N24, MATCH(Summary!$B$18,'1 Volumes'!$A22:$A24,0),1)*share_operator</f>
        <v>318432253.7625984</v>
      </c>
      <c r="Q67" s="26">
        <f>INDEX('1 Volumes'!O22:O24, MATCH(Summary!$B$18,'1 Volumes'!$A22:$A24,0),1)*share_operator</f>
        <v>288012790.1196444</v>
      </c>
      <c r="R67" s="26">
        <f>INDEX('1 Volumes'!P22:P24, MATCH(Summary!$B$18,'1 Volumes'!$A22:$A24,0),1)*share_operator</f>
        <v>260499262.53496069</v>
      </c>
      <c r="S67" s="26">
        <f>INDEX('1 Volumes'!Q22:Q24, MATCH(Summary!$B$18,'1 Volumes'!$A22:$A24,0),1)*share_operator</f>
        <v>235614070.30940697</v>
      </c>
      <c r="T67" s="26">
        <f>INDEX('1 Volumes'!R22:R24, MATCH(Summary!$B$18,'1 Volumes'!$A22:$A24,0),1)*share_operator</f>
        <v>213106131.61646026</v>
      </c>
      <c r="U67" s="26">
        <f>INDEX('1 Volumes'!S22:S24, MATCH(Summary!$B$18,'1 Volumes'!$A22:$A24,0),1)*share_operator</f>
        <v>192748350.18509042</v>
      </c>
      <c r="V67" s="26">
        <f>INDEX('1 Volumes'!T22:T24, MATCH(Summary!$B$18,'1 Volumes'!$A22:$A24,0),1)*share_operator</f>
        <v>174335323.98748043</v>
      </c>
      <c r="W67" s="26">
        <f>INDEX('1 Volumes'!U22:U24, MATCH(Summary!$B$18,'1 Volumes'!$A22:$A24,0),1)*share_operator</f>
        <v>157681272.81314975</v>
      </c>
      <c r="Z67"/>
      <c r="AA67"/>
      <c r="AB67"/>
      <c r="AC67"/>
      <c r="AD67"/>
      <c r="AE67"/>
      <c r="AF67"/>
      <c r="AG67"/>
      <c r="AH67"/>
      <c r="AI67"/>
      <c r="AJ67"/>
      <c r="AK67"/>
      <c r="AL67"/>
      <c r="AM67"/>
      <c r="AN67"/>
      <c r="AO67"/>
      <c r="AP67"/>
      <c r="AQ67"/>
      <c r="AR67"/>
      <c r="AS67"/>
      <c r="AT67"/>
    </row>
    <row r="68" spans="1:46" x14ac:dyDescent="0.35">
      <c r="A68" s="12" t="str">
        <f>'1 Volumes'!A26</f>
        <v>Fixed to Mobile Telephone traffic</v>
      </c>
      <c r="B68" s="84"/>
      <c r="D68" s="26">
        <f>INDEX('1 Volumes'!B29:B31, MATCH(Summary!$B$18,'1 Volumes'!$A29:$A31,0),1)*share_operator</f>
        <v>4072135000</v>
      </c>
      <c r="E68" s="26">
        <f>INDEX('1 Volumes'!C29:C31, MATCH(Summary!$B$18,'1 Volumes'!$A29:$A31,0),1)*share_operator</f>
        <v>2974160000</v>
      </c>
      <c r="F68" s="26">
        <f>INDEX('1 Volumes'!D29:D31, MATCH(Summary!$B$18,'1 Volumes'!$A29:$A31,0),1)*share_operator</f>
        <v>3212270000</v>
      </c>
      <c r="G68" s="26">
        <f>INDEX('1 Volumes'!E29:E31, MATCH(Summary!$B$18,'1 Volumes'!$A29:$A31,0),1)*share_operator</f>
        <v>3013050000</v>
      </c>
      <c r="H68" s="26">
        <f>INDEX('1 Volumes'!F29:F31, MATCH(Summary!$B$18,'1 Volumes'!$A29:$A31,0),1)*share_operator</f>
        <v>2725216830.3182173</v>
      </c>
      <c r="I68" s="26">
        <f>INDEX('1 Volumes'!G29:G31, MATCH(Summary!$B$18,'1 Volumes'!$A29:$A31,0),1)*share_operator</f>
        <v>2464880029.2891493</v>
      </c>
      <c r="J68" s="26">
        <f>INDEX('1 Volumes'!H29:H31, MATCH(Summary!$B$18,'1 Volumes'!$A29:$A31,0),1)*share_operator</f>
        <v>2229412900.7265229</v>
      </c>
      <c r="K68" s="26">
        <f>INDEX('1 Volumes'!I29:I31, MATCH(Summary!$B$18,'1 Volumes'!$A29:$A31,0),1)*share_operator</f>
        <v>2016439673.6823077</v>
      </c>
      <c r="L68" s="26">
        <f>INDEX('1 Volumes'!J29:J31, MATCH(Summary!$B$18,'1 Volumes'!$A29:$A31,0),1)*share_operator</f>
        <v>1823811531.8499191</v>
      </c>
      <c r="M68" s="26">
        <f>INDEX('1 Volumes'!K29:K31, MATCH(Summary!$B$18,'1 Volumes'!$A29:$A31,0),1)*share_operator</f>
        <v>1649584932.8507156</v>
      </c>
      <c r="N68" s="26">
        <f>INDEX('1 Volumes'!L29:L31, MATCH(Summary!$B$18,'1 Volumes'!$A29:$A31,0),1)*share_operator</f>
        <v>1492001998.6538944</v>
      </c>
      <c r="O68" s="26">
        <f>INDEX('1 Volumes'!M29:M31, MATCH(Summary!$B$18,'1 Volumes'!$A29:$A31,0),1)*share_operator</f>
        <v>1349472779.2768161</v>
      </c>
      <c r="P68" s="26">
        <f>INDEX('1 Volumes'!N29:N31, MATCH(Summary!$B$18,'1 Volumes'!$A29:$A31,0),1)*share_operator</f>
        <v>1220559210.8134549</v>
      </c>
      <c r="Q68" s="26">
        <f>INDEX('1 Volumes'!O29:O31, MATCH(Summary!$B$18,'1 Volumes'!$A29:$A31,0),1)*share_operator</f>
        <v>1103960605.9337709</v>
      </c>
      <c r="R68" s="26">
        <f>INDEX('1 Volumes'!P29:P31, MATCH(Summary!$B$18,'1 Volumes'!$A29:$A31,0),1)*share_operator</f>
        <v>998500530.45884061</v>
      </c>
      <c r="S68" s="26">
        <f>INDEX('1 Volumes'!Q29:Q31, MATCH(Summary!$B$18,'1 Volumes'!$A29:$A31,0),1)*share_operator</f>
        <v>903114933.60153341</v>
      </c>
      <c r="T68" s="26">
        <f>INDEX('1 Volumes'!R29:R31, MATCH(Summary!$B$18,'1 Volumes'!$A29:$A31,0),1)*share_operator</f>
        <v>816841412.11152089</v>
      </c>
      <c r="U68" s="26">
        <f>INDEX('1 Volumes'!S29:S31, MATCH(Summary!$B$18,'1 Volumes'!$A29:$A31,0),1)*share_operator</f>
        <v>738809500.00405419</v>
      </c>
      <c r="V68" s="26">
        <f>INDEX('1 Volumes'!T29:T31, MATCH(Summary!$B$18,'1 Volumes'!$A29:$A31,0),1)*share_operator</f>
        <v>668231885.89968157</v>
      </c>
      <c r="W68" s="26">
        <f>INDEX('1 Volumes'!U29:U31, MATCH(Summary!$B$18,'1 Volumes'!$A29:$A31,0),1)*share_operator</f>
        <v>604396469.36130989</v>
      </c>
      <c r="Z68"/>
      <c r="AA68"/>
      <c r="AB68"/>
      <c r="AC68"/>
      <c r="AD68"/>
      <c r="AE68"/>
      <c r="AF68"/>
      <c r="AG68"/>
      <c r="AH68"/>
      <c r="AI68"/>
      <c r="AJ68"/>
      <c r="AK68"/>
      <c r="AL68"/>
      <c r="AM68"/>
      <c r="AN68"/>
      <c r="AO68"/>
      <c r="AP68"/>
      <c r="AQ68"/>
      <c r="AR68"/>
      <c r="AS68"/>
      <c r="AT68"/>
    </row>
    <row r="69" spans="1:46" x14ac:dyDescent="0.35">
      <c r="A69" s="12" t="str">
        <f>'1 Volumes'!A33</f>
        <v>Outgoing mobile traffic to fixed networks</v>
      </c>
      <c r="B69" s="84"/>
      <c r="D69" s="26">
        <f>INDEX('1 Volumes'!B36:B38, MATCH(Summary!$B$18,'1 Volumes'!$A36:$A38,0),1)*share_operator</f>
        <v>1183320000</v>
      </c>
      <c r="E69" s="26">
        <f>INDEX('1 Volumes'!C36:C38, MATCH(Summary!$B$18,'1 Volumes'!$A36:$A38,0),1)*share_operator</f>
        <v>1231660000</v>
      </c>
      <c r="F69" s="26">
        <f>INDEX('1 Volumes'!D36:D38, MATCH(Summary!$B$18,'1 Volumes'!$A36:$A38,0),1)*share_operator</f>
        <v>1472785000</v>
      </c>
      <c r="G69" s="26">
        <f>INDEX('1 Volumes'!E36:E38, MATCH(Summary!$B$18,'1 Volumes'!$A36:$A38,0),1)*share_operator</f>
        <v>1372105000</v>
      </c>
      <c r="H69" s="26">
        <f>INDEX('1 Volumes'!F36:F38, MATCH(Summary!$B$18,'1 Volumes'!$A36:$A38,0),1)*share_operator</f>
        <v>1241029401.7569497</v>
      </c>
      <c r="I69" s="26">
        <f>INDEX('1 Volumes'!G36:G38, MATCH(Summary!$B$18,'1 Volumes'!$A36:$A38,0),1)*share_operator</f>
        <v>1122475303.2932701</v>
      </c>
      <c r="J69" s="26">
        <f>INDEX('1 Volumes'!H36:H38, MATCH(Summary!$B$18,'1 Volumes'!$A36:$A38,0),1)*share_operator</f>
        <v>1015246540.2669604</v>
      </c>
      <c r="K69" s="26">
        <f>INDEX('1 Volumes'!I36:I38, MATCH(Summary!$B$18,'1 Volumes'!$A36:$A38,0),1)*share_operator</f>
        <v>918261216.52739322</v>
      </c>
      <c r="L69" s="26">
        <f>INDEX('1 Volumes'!J36:J38, MATCH(Summary!$B$18,'1 Volumes'!$A36:$A38,0),1)*share_operator</f>
        <v>830540788.20760787</v>
      </c>
      <c r="M69" s="26">
        <f>INDEX('1 Volumes'!K36:K38, MATCH(Summary!$B$18,'1 Volumes'!$A36:$A38,0),1)*share_operator</f>
        <v>751200190.60059774</v>
      </c>
      <c r="N69" s="26">
        <f>INDEX('1 Volumes'!L36:L38, MATCH(Summary!$B$18,'1 Volumes'!$A36:$A38,0),1)*share_operator</f>
        <v>679438908.20364797</v>
      </c>
      <c r="O69" s="26">
        <f>INDEX('1 Volumes'!M36:M38, MATCH(Summary!$B$18,'1 Volumes'!$A36:$A38,0),1)*share_operator</f>
        <v>614532897.83097386</v>
      </c>
      <c r="P69" s="26">
        <f>INDEX('1 Volumes'!N36:N38, MATCH(Summary!$B$18,'1 Volumes'!$A36:$A38,0),1)*share_operator</f>
        <v>555827283.30203462</v>
      </c>
      <c r="Q69" s="26">
        <f>INDEX('1 Volumes'!O36:O38, MATCH(Summary!$B$18,'1 Volumes'!$A36:$A38,0),1)*share_operator</f>
        <v>502729747.9977951</v>
      </c>
      <c r="R69" s="26">
        <f>INDEX('1 Volumes'!P36:P38, MATCH(Summary!$B$18,'1 Volumes'!$A36:$A38,0),1)*share_operator</f>
        <v>454704558.61841899</v>
      </c>
      <c r="S69" s="26">
        <f>INDEX('1 Volumes'!Q36:Q38, MATCH(Summary!$B$18,'1 Volumes'!$A36:$A38,0),1)*share_operator</f>
        <v>411267159.84445387</v>
      </c>
      <c r="T69" s="26">
        <f>INDEX('1 Volumes'!R36:R38, MATCH(Summary!$B$18,'1 Volumes'!$A36:$A38,0),1)*share_operator</f>
        <v>371979285.36376035</v>
      </c>
      <c r="U69" s="26">
        <f>INDEX('1 Volumes'!S36:S38, MATCH(Summary!$B$18,'1 Volumes'!$A36:$A38,0),1)*share_operator</f>
        <v>336444535.93636435</v>
      </c>
      <c r="V69" s="26">
        <f>INDEX('1 Volumes'!T36:T38, MATCH(Summary!$B$18,'1 Volumes'!$A36:$A38,0),1)*share_operator</f>
        <v>304304379.88164234</v>
      </c>
      <c r="W69" s="26">
        <f>INDEX('1 Volumes'!U36:U38, MATCH(Summary!$B$18,'1 Volumes'!$A36:$A38,0),1)*share_operator</f>
        <v>275234535.63432401</v>
      </c>
    </row>
    <row r="70" spans="1:46" x14ac:dyDescent="0.35">
      <c r="A70" s="12" t="str">
        <f>'1 Volumes'!A40</f>
        <v xml:space="preserve">International incoming fixed telephone traffic </v>
      </c>
      <c r="B70" s="84"/>
      <c r="D70" s="26">
        <f>INDEX('1 Volumes'!B42:B44, MATCH(Summary!$B$18,'1 Volumes'!$A42:$A44,0),1)*share_operator</f>
        <v>180374500</v>
      </c>
      <c r="E70" s="26">
        <f>INDEX('1 Volumes'!C42:C44, MATCH(Summary!$B$18,'1 Volumes'!$A42:$A44,0),1)*share_operator</f>
        <v>79049000</v>
      </c>
      <c r="F70" s="26">
        <f>INDEX('1 Volumes'!D42:D44, MATCH(Summary!$B$18,'1 Volumes'!$A42:$A44,0),1)*share_operator</f>
        <v>51587500</v>
      </c>
      <c r="G70" s="26">
        <f>INDEX('1 Volumes'!E42:E44, MATCH(Summary!$B$18,'1 Volumes'!$A42:$A44,0),1)*share_operator</f>
        <v>22564300</v>
      </c>
      <c r="H70" s="26">
        <f>INDEX('1 Volumes'!F42:F44, MATCH(Summary!$B$18,'1 Volumes'!$A42:$A44,0),1)*share_operator</f>
        <v>20408758.608170908</v>
      </c>
      <c r="I70" s="26">
        <f>INDEX('1 Volumes'!G42:G44, MATCH(Summary!$B$18,'1 Volumes'!$A42:$A44,0),1)*share_operator</f>
        <v>18459133.583873201</v>
      </c>
      <c r="J70" s="26">
        <f>INDEX('1 Volumes'!H42:H44, MATCH(Summary!$B$18,'1 Volumes'!$A42:$A44,0),1)*share_operator</f>
        <v>16695753.975494426</v>
      </c>
      <c r="K70" s="26">
        <f>INDEX('1 Volumes'!I42:I44, MATCH(Summary!$B$18,'1 Volumes'!$A42:$A44,0),1)*share_operator</f>
        <v>15100827.974600386</v>
      </c>
      <c r="L70" s="26">
        <f>INDEX('1 Volumes'!J42:J44, MATCH(Summary!$B$18,'1 Volumes'!$A42:$A44,0),1)*share_operator</f>
        <v>13658263.403568188</v>
      </c>
      <c r="M70" s="26">
        <f>INDEX('1 Volumes'!K42:K44, MATCH(Summary!$B$18,'1 Volumes'!$A42:$A44,0),1)*share_operator</f>
        <v>12353505.351827351</v>
      </c>
      <c r="N70" s="26">
        <f>INDEX('1 Volumes'!L42:L44, MATCH(Summary!$B$18,'1 Volumes'!$A42:$A44,0),1)*share_operator</f>
        <v>11173389.322522383</v>
      </c>
      <c r="O70" s="26">
        <f>INDEX('1 Volumes'!M42:M44, MATCH(Summary!$B$18,'1 Volumes'!$A42:$A44,0),1)*share_operator</f>
        <v>10106008.407904238</v>
      </c>
      <c r="P70" s="26">
        <f>INDEX('1 Volumes'!N42:N44, MATCH(Summary!$B$18,'1 Volumes'!$A42:$A44,0),1)*share_operator</f>
        <v>9140593.1533024814</v>
      </c>
      <c r="Q70" s="26">
        <f>INDEX('1 Volumes'!O42:O44, MATCH(Summary!$B$18,'1 Volumes'!$A42:$A44,0),1)*share_operator</f>
        <v>8267402.8975527743</v>
      </c>
      <c r="R70" s="26">
        <f>INDEX('1 Volumes'!P42:P44, MATCH(Summary!$B$18,'1 Volumes'!$A42:$A44,0),1)*share_operator</f>
        <v>7477627.4935472086</v>
      </c>
      <c r="S70" s="26">
        <f>INDEX('1 Volumes'!Q42:Q44, MATCH(Summary!$B$18,'1 Volumes'!$A42:$A44,0),1)*share_operator</f>
        <v>6763298.4173064101</v>
      </c>
      <c r="T70" s="26">
        <f>INDEX('1 Volumes'!R42:R44, MATCH(Summary!$B$18,'1 Volumes'!$A42:$A44,0),1)*share_operator</f>
        <v>6117208.3686988233</v>
      </c>
      <c r="U70" s="26">
        <f>INDEX('1 Volumes'!S42:S44, MATCH(Summary!$B$18,'1 Volumes'!$A42:$A44,0),1)*share_operator</f>
        <v>5532838.5526099727</v>
      </c>
      <c r="V70" s="26">
        <f>INDEX('1 Volumes'!T42:T44, MATCH(Summary!$B$18,'1 Volumes'!$A42:$A44,0),1)*share_operator</f>
        <v>5004292.9068572316</v>
      </c>
      <c r="W70" s="26">
        <f>INDEX('1 Volumes'!U42:U44, MATCH(Summary!$B$18,'1 Volumes'!$A42:$A44,0),1)*share_operator</f>
        <v>4526238.6132355593</v>
      </c>
    </row>
    <row r="71" spans="1:46" x14ac:dyDescent="0.35">
      <c r="A71" s="12" t="str">
        <f>'1 Volumes'!A46</f>
        <v>International outgoing fixed telephone traffic</v>
      </c>
      <c r="B71" s="84"/>
      <c r="D71" s="26">
        <f>INDEX('1 Volumes'!B48:B50, MATCH(Summary!$B$18,'1 Volumes'!$A48:$A50,0),1)*share_operator</f>
        <v>178208000</v>
      </c>
      <c r="E71" s="26">
        <f>INDEX('1 Volumes'!C48:C50, MATCH(Summary!$B$18,'1 Volumes'!$A48:$A50,0),1)*share_operator</f>
        <v>39907900</v>
      </c>
      <c r="F71" s="26">
        <f>INDEX('1 Volumes'!D48:D50, MATCH(Summary!$B$18,'1 Volumes'!$A48:$A50,0),1)*share_operator</f>
        <v>40807750</v>
      </c>
      <c r="G71" s="26">
        <f>INDEX('1 Volumes'!E48:E50, MATCH(Summary!$B$18,'1 Volumes'!$A48:$A50,0),1)*share_operator</f>
        <v>32466800</v>
      </c>
      <c r="H71" s="26">
        <f>INDEX('1 Volumes'!F48:F50, MATCH(Summary!$B$18,'1 Volumes'!$A48:$A50,0),1)*share_operator</f>
        <v>29365284.275593001</v>
      </c>
      <c r="I71" s="26">
        <f>INDEX('1 Volumes'!G48:G50, MATCH(Summary!$B$18,'1 Volumes'!$A48:$A50,0),1)*share_operator</f>
        <v>26560052.748850815</v>
      </c>
      <c r="J71" s="26">
        <f>INDEX('1 Volumes'!H48:H50, MATCH(Summary!$B$18,'1 Volumes'!$A48:$A50,0),1)*share_operator</f>
        <v>24022801.734225411</v>
      </c>
      <c r="K71" s="26">
        <f>INDEX('1 Volumes'!I48:I50, MATCH(Summary!$B$18,'1 Volumes'!$A48:$A50,0),1)*share_operator</f>
        <v>21727931.364401106</v>
      </c>
      <c r="L71" s="26">
        <f>INDEX('1 Volumes'!J48:J50, MATCH(Summary!$B$18,'1 Volumes'!$A48:$A50,0),1)*share_operator</f>
        <v>19652287.297676761</v>
      </c>
      <c r="M71" s="26">
        <f>INDEX('1 Volumes'!K48:K50, MATCH(Summary!$B$18,'1 Volumes'!$A48:$A50,0),1)*share_operator</f>
        <v>17774927.099741995</v>
      </c>
      <c r="N71" s="26">
        <f>INDEX('1 Volumes'!L48:L50, MATCH(Summary!$B$18,'1 Volumes'!$A48:$A50,0),1)*share_operator</f>
        <v>16076908.942731207</v>
      </c>
      <c r="O71" s="26">
        <f>INDEX('1 Volumes'!M48:M50, MATCH(Summary!$B$18,'1 Volumes'!$A48:$A50,0),1)*share_operator</f>
        <v>14541100.489611702</v>
      </c>
      <c r="P71" s="26">
        <f>INDEX('1 Volumes'!N48:N50, MATCH(Summary!$B$18,'1 Volumes'!$A48:$A50,0),1)*share_operator</f>
        <v>13152006.035624459</v>
      </c>
      <c r="Q71" s="26">
        <f>INDEX('1 Volumes'!O48:O50, MATCH(Summary!$B$18,'1 Volumes'!$A48:$A50,0),1)*share_operator</f>
        <v>11895610.162702428</v>
      </c>
      <c r="R71" s="26">
        <f>INDEX('1 Volumes'!P48:P50, MATCH(Summary!$B$18,'1 Volumes'!$A48:$A50,0),1)*share_operator</f>
        <v>10759236.3294008</v>
      </c>
      <c r="S71" s="26">
        <f>INDEX('1 Volumes'!Q48:Q50, MATCH(Summary!$B$18,'1 Volumes'!$A48:$A50,0),1)*share_operator</f>
        <v>9731418.969567135</v>
      </c>
      <c r="T71" s="26">
        <f>INDEX('1 Volumes'!R48:R50, MATCH(Summary!$B$18,'1 Volumes'!$A48:$A50,0),1)*share_operator</f>
        <v>8801787.8092770837</v>
      </c>
      <c r="U71" s="26">
        <f>INDEX('1 Volumes'!S48:S50, MATCH(Summary!$B$18,'1 Volumes'!$A48:$A50,0),1)*share_operator</f>
        <v>7960963.2348389905</v>
      </c>
      <c r="V71" s="26">
        <f>INDEX('1 Volumes'!T48:T50, MATCH(Summary!$B$18,'1 Volumes'!$A48:$A50,0),1)*share_operator</f>
        <v>7200461.6561715789</v>
      </c>
      <c r="W71" s="26">
        <f>INDEX('1 Volumes'!U48:U50, MATCH(Summary!$B$18,'1 Volumes'!$A48:$A50,0),1)*share_operator</f>
        <v>6512609.9107083427</v>
      </c>
    </row>
    <row r="72" spans="1:46" x14ac:dyDescent="0.35">
      <c r="A72" s="15" t="s">
        <v>88</v>
      </c>
      <c r="B72" s="84"/>
      <c r="K72" s="81"/>
      <c r="L72" s="81"/>
      <c r="M72" s="81"/>
      <c r="N72" s="81"/>
      <c r="O72" s="81"/>
      <c r="X72" s="15" t="s">
        <v>89</v>
      </c>
    </row>
    <row r="74" spans="1:46" s="49" customFormat="1" x14ac:dyDescent="0.35">
      <c r="A74" s="48" t="s">
        <v>90</v>
      </c>
    </row>
    <row r="76" spans="1:46" customFormat="1" x14ac:dyDescent="0.35">
      <c r="A76" s="12" t="s">
        <v>91</v>
      </c>
      <c r="B76" s="12"/>
      <c r="C76" s="12"/>
      <c r="D76" s="12"/>
      <c r="E76" s="12"/>
      <c r="F76" s="12"/>
      <c r="G76" s="12"/>
      <c r="H76" s="12"/>
      <c r="I76" s="12"/>
      <c r="J76" s="12"/>
      <c r="K76" s="12"/>
      <c r="L76" s="12"/>
      <c r="M76" s="12"/>
      <c r="N76" s="12"/>
      <c r="O76" s="12"/>
      <c r="P76" s="12"/>
      <c r="Q76" s="12"/>
      <c r="R76" s="12"/>
      <c r="S76" s="12"/>
      <c r="T76" s="12"/>
      <c r="U76" s="12"/>
      <c r="V76" s="12"/>
      <c r="W76" s="12"/>
      <c r="X76" s="12"/>
      <c r="Y76" s="12"/>
      <c r="Z76" s="2"/>
    </row>
    <row r="77" spans="1:46" customFormat="1" x14ac:dyDescent="0.35">
      <c r="A77" s="84"/>
      <c r="B77" s="83"/>
      <c r="C77" s="12"/>
      <c r="D77" s="12"/>
      <c r="E77" s="12"/>
      <c r="F77" s="12"/>
      <c r="G77" s="12"/>
      <c r="H77" s="12"/>
      <c r="I77" s="12"/>
      <c r="J77" s="12"/>
      <c r="K77" s="12"/>
      <c r="L77" s="12"/>
      <c r="M77" s="12"/>
      <c r="N77" s="12"/>
      <c r="O77" s="12"/>
      <c r="P77" s="12"/>
      <c r="Q77" s="12"/>
      <c r="R77" s="12"/>
      <c r="S77" s="12"/>
      <c r="T77" s="12"/>
      <c r="U77" s="12"/>
      <c r="V77" s="12"/>
      <c r="W77" s="12"/>
      <c r="X77" s="12"/>
      <c r="Y77" s="12"/>
    </row>
    <row r="78" spans="1:46" s="1" customFormat="1" x14ac:dyDescent="0.35">
      <c r="A78" s="87"/>
      <c r="B78" s="83"/>
      <c r="C78" s="84"/>
      <c r="D78" s="52" cm="1">
        <f t="array" ref="D78:W78">years</f>
        <v>2018</v>
      </c>
      <c r="E78" s="52">
        <v>2019</v>
      </c>
      <c r="F78" s="52">
        <v>2020</v>
      </c>
      <c r="G78" s="52">
        <v>2021</v>
      </c>
      <c r="H78" s="52">
        <v>2022</v>
      </c>
      <c r="I78" s="52">
        <v>2023</v>
      </c>
      <c r="J78" s="52">
        <v>2024</v>
      </c>
      <c r="K78" s="52">
        <v>2025</v>
      </c>
      <c r="L78" s="52">
        <v>2026</v>
      </c>
      <c r="M78" s="52">
        <v>2027</v>
      </c>
      <c r="N78" s="52">
        <v>2028</v>
      </c>
      <c r="O78" s="52">
        <v>2029</v>
      </c>
      <c r="P78" s="52">
        <v>2030</v>
      </c>
      <c r="Q78" s="52">
        <v>2031</v>
      </c>
      <c r="R78" s="52">
        <v>2032</v>
      </c>
      <c r="S78" s="52">
        <v>2033</v>
      </c>
      <c r="T78" s="52">
        <v>2034</v>
      </c>
      <c r="U78" s="52">
        <v>2035</v>
      </c>
      <c r="V78" s="52">
        <v>2036</v>
      </c>
      <c r="W78" s="52">
        <v>2037</v>
      </c>
      <c r="X78" s="84"/>
      <c r="Y78" s="84"/>
      <c r="Z78" s="234"/>
      <c r="AA78" s="234"/>
      <c r="AB78" s="234"/>
      <c r="AC78" s="234"/>
      <c r="AD78" s="234"/>
      <c r="AE78" s="234"/>
      <c r="AF78" s="234"/>
      <c r="AG78" s="234"/>
      <c r="AH78" s="234"/>
      <c r="AI78" s="234"/>
      <c r="AJ78" s="234"/>
      <c r="AK78" s="234"/>
      <c r="AL78" s="234"/>
      <c r="AM78" s="234"/>
      <c r="AN78" s="234"/>
      <c r="AO78" s="234"/>
      <c r="AP78" s="234"/>
      <c r="AQ78" s="234"/>
      <c r="AR78" s="234"/>
      <c r="AS78" s="234"/>
    </row>
    <row r="79" spans="1:46" x14ac:dyDescent="0.35">
      <c r="A79" s="12" t="str" cm="1">
        <f t="array" ref="A79:A85">fixed_services</f>
        <v>On-net fixed to fixed traffic</v>
      </c>
      <c r="B79" s="18"/>
      <c r="D79" s="71" cm="1">
        <f t="array" ref="D79:W85">fixed_minutes*busy_hour_perc</f>
        <v>511404.23682692309</v>
      </c>
      <c r="E79" s="230">
        <v>430161.46494230774</v>
      </c>
      <c r="F79" s="230">
        <v>373872.08284615388</v>
      </c>
      <c r="G79" s="230">
        <v>331081.60603846156</v>
      </c>
      <c r="H79" s="230">
        <v>299453.7644528969</v>
      </c>
      <c r="I79" s="230">
        <v>270847.29386806779</v>
      </c>
      <c r="J79" s="230">
        <v>244973.56621874924</v>
      </c>
      <c r="K79" s="71">
        <v>221571.52574381762</v>
      </c>
      <c r="L79" s="71">
        <v>200405.05503603921</v>
      </c>
      <c r="M79" s="71">
        <v>181260.59271006542</v>
      </c>
      <c r="N79" s="71">
        <v>163944.9786518398</v>
      </c>
      <c r="O79" s="71">
        <v>148283.50510882813</v>
      </c>
      <c r="P79" s="71">
        <v>134118.15395733752</v>
      </c>
      <c r="Q79" s="71">
        <v>121306.0023616422</v>
      </c>
      <c r="R79" s="71">
        <v>109717.78073864314</v>
      </c>
      <c r="S79" s="71">
        <v>99236.568478489964</v>
      </c>
      <c r="T79" s="71">
        <v>89756.614261498195</v>
      </c>
      <c r="U79" s="71">
        <v>81182.269068822294</v>
      </c>
      <c r="V79" s="71">
        <v>73427.021121380836</v>
      </c>
      <c r="W79" s="71">
        <v>66412.623009946154</v>
      </c>
    </row>
    <row r="80" spans="1:46" x14ac:dyDescent="0.35">
      <c r="A80" s="12" t="str">
        <v>Incoming fixed to fixed traffic</v>
      </c>
      <c r="B80" s="18"/>
      <c r="D80" s="26">
        <v>340936.15788461542</v>
      </c>
      <c r="E80" s="231">
        <v>286774.30996153847</v>
      </c>
      <c r="F80" s="231">
        <v>249248.05523076924</v>
      </c>
      <c r="G80" s="231">
        <v>220721.07069230769</v>
      </c>
      <c r="H80" s="231">
        <v>199635.84296859792</v>
      </c>
      <c r="I80" s="231">
        <v>180564.86257871185</v>
      </c>
      <c r="J80" s="231">
        <v>163315.71081249948</v>
      </c>
      <c r="K80" s="26">
        <v>147714.3504958784</v>
      </c>
      <c r="L80" s="26">
        <v>133603.37002402614</v>
      </c>
      <c r="M80" s="26">
        <v>120840.39514004361</v>
      </c>
      <c r="N80" s="26">
        <v>109296.65243455984</v>
      </c>
      <c r="O80" s="26">
        <v>98855.670072552064</v>
      </c>
      <c r="P80" s="26">
        <v>89412.102638224984</v>
      </c>
      <c r="Q80" s="26">
        <v>80870.668241094769</v>
      </c>
      <c r="R80" s="26">
        <v>73145.187159095411</v>
      </c>
      <c r="S80" s="26">
        <v>66157.71231899329</v>
      </c>
      <c r="T80" s="26">
        <v>59837.742840998777</v>
      </c>
      <c r="U80" s="26">
        <v>54121.512712548181</v>
      </c>
      <c r="V80" s="26">
        <v>48951.347414253883</v>
      </c>
      <c r="W80" s="26">
        <v>44275.082006630764</v>
      </c>
    </row>
    <row r="81" spans="1:24" x14ac:dyDescent="0.35">
      <c r="A81" s="12" t="str">
        <v>Off-net fixed to fixed traffic</v>
      </c>
      <c r="B81" s="18"/>
      <c r="D81" s="138">
        <v>340936.15788461542</v>
      </c>
      <c r="E81" s="140">
        <v>286774.30996153847</v>
      </c>
      <c r="F81" s="140">
        <v>249248.05523076924</v>
      </c>
      <c r="G81" s="140">
        <v>220721.07069230769</v>
      </c>
      <c r="H81" s="140">
        <v>199635.84296859792</v>
      </c>
      <c r="I81" s="140">
        <v>180564.86257871185</v>
      </c>
      <c r="J81" s="140">
        <v>163315.71081249948</v>
      </c>
      <c r="K81" s="138">
        <v>147714.3504958784</v>
      </c>
      <c r="L81" s="138">
        <v>133603.37002402614</v>
      </c>
      <c r="M81" s="138">
        <v>120840.39514004361</v>
      </c>
      <c r="N81" s="138">
        <v>109296.65243455984</v>
      </c>
      <c r="O81" s="138">
        <v>98855.670072552064</v>
      </c>
      <c r="P81" s="138">
        <v>89412.102638224984</v>
      </c>
      <c r="Q81" s="138">
        <v>80870.668241094769</v>
      </c>
      <c r="R81" s="138">
        <v>73145.187159095411</v>
      </c>
      <c r="S81" s="138">
        <v>66157.71231899329</v>
      </c>
      <c r="T81" s="138">
        <v>59837.742840998777</v>
      </c>
      <c r="U81" s="138">
        <v>54121.512712548181</v>
      </c>
      <c r="V81" s="138">
        <v>48951.347414253883</v>
      </c>
      <c r="W81" s="138">
        <v>44275.082006630764</v>
      </c>
    </row>
    <row r="82" spans="1:24" x14ac:dyDescent="0.35">
      <c r="A82" s="12" t="str">
        <v>Fixed to Mobile Telephone traffic</v>
      </c>
      <c r="B82" s="18"/>
      <c r="D82" s="138">
        <v>1143408.5218269231</v>
      </c>
      <c r="E82" s="140">
        <v>835109.81076923083</v>
      </c>
      <c r="F82" s="140">
        <v>901968.35134615388</v>
      </c>
      <c r="G82" s="140">
        <v>846029.67403846153</v>
      </c>
      <c r="H82" s="140">
        <v>765209.44114377489</v>
      </c>
      <c r="I82" s="140">
        <v>692109.87130097824</v>
      </c>
      <c r="J82" s="140">
        <v>625993.41852899932</v>
      </c>
      <c r="K82" s="138">
        <v>566192.99375837261</v>
      </c>
      <c r="L82" s="138">
        <v>512105.23416424362</v>
      </c>
      <c r="M82" s="138">
        <v>463184.41547217884</v>
      </c>
      <c r="N82" s="138">
        <v>418936.94581433682</v>
      </c>
      <c r="O82" s="138">
        <v>378916.3855811691</v>
      </c>
      <c r="P82" s="138">
        <v>342718.94302090874</v>
      </c>
      <c r="Q82" s="138">
        <v>309979.40013921133</v>
      </c>
      <c r="R82" s="138">
        <v>280367.42779287562</v>
      </c>
      <c r="S82" s="138">
        <v>253584.25279838443</v>
      </c>
      <c r="T82" s="138">
        <v>229359.64342769841</v>
      </c>
      <c r="U82" s="138">
        <v>207449.18287613837</v>
      </c>
      <c r="V82" s="138">
        <v>187631.80319271635</v>
      </c>
      <c r="W82" s="138">
        <v>169707.55479124011</v>
      </c>
    </row>
    <row r="83" spans="1:24" x14ac:dyDescent="0.35">
      <c r="A83" s="12" t="str">
        <v>Outgoing mobile traffic to fixed networks</v>
      </c>
      <c r="B83" s="18"/>
      <c r="D83" s="138">
        <v>332262.60230769234</v>
      </c>
      <c r="E83" s="140">
        <v>345835.91653846158</v>
      </c>
      <c r="F83" s="140">
        <v>413541.03432692308</v>
      </c>
      <c r="G83" s="140">
        <v>385271.2520192308</v>
      </c>
      <c r="H83" s="140">
        <v>348466.73644333123</v>
      </c>
      <c r="I83" s="140">
        <v>315178.11352663534</v>
      </c>
      <c r="J83" s="140">
        <v>285069.51412380557</v>
      </c>
      <c r="K83" s="138">
        <v>257837.15427916287</v>
      </c>
      <c r="L83" s="138">
        <v>233206.27016575544</v>
      </c>
      <c r="M83" s="138">
        <v>210928.34582614093</v>
      </c>
      <c r="N83" s="138">
        <v>190778.60574387433</v>
      </c>
      <c r="O83" s="138">
        <v>172553.74694673173</v>
      </c>
      <c r="P83" s="138">
        <v>156069.88775948092</v>
      </c>
      <c r="Q83" s="138">
        <v>141160.71250991937</v>
      </c>
      <c r="R83" s="138">
        <v>127675.79346899108</v>
      </c>
      <c r="S83" s="138">
        <v>115479.07309401676</v>
      </c>
      <c r="T83" s="138">
        <v>104447.49126146664</v>
      </c>
      <c r="U83" s="138">
        <v>94469.743638593383</v>
      </c>
      <c r="V83" s="138">
        <v>85445.158666381918</v>
      </c>
      <c r="W83" s="138">
        <v>77282.681823014718</v>
      </c>
    </row>
    <row r="84" spans="1:24" x14ac:dyDescent="0.35">
      <c r="A84" s="12" t="str">
        <v xml:space="preserve">International incoming fixed telephone traffic </v>
      </c>
      <c r="B84" s="18"/>
      <c r="D84" s="138">
        <v>50647.078355769234</v>
      </c>
      <c r="E84" s="140">
        <v>22196.047096153849</v>
      </c>
      <c r="F84" s="140">
        <v>14485.174759615385</v>
      </c>
      <c r="G84" s="140">
        <v>6335.7950826923079</v>
      </c>
      <c r="H84" s="140">
        <v>5730.5439314981431</v>
      </c>
      <c r="I84" s="140">
        <v>5183.1117203487047</v>
      </c>
      <c r="J84" s="140">
        <v>4687.9750730037331</v>
      </c>
      <c r="K84" s="138">
        <v>4240.1382549450045</v>
      </c>
      <c r="L84" s="138">
        <v>3835.0827683749831</v>
      </c>
      <c r="M84" s="138">
        <v>3468.7217623467532</v>
      </c>
      <c r="N84" s="138">
        <v>3137.3587980413331</v>
      </c>
      <c r="O84" s="138">
        <v>2837.650553150188</v>
      </c>
      <c r="P84" s="138">
        <v>2566.5730890647988</v>
      </c>
      <c r="Q84" s="138">
        <v>2321.3913405224625</v>
      </c>
      <c r="R84" s="138">
        <v>2099.631519870823</v>
      </c>
      <c r="S84" s="138">
        <v>1899.0561575209788</v>
      </c>
      <c r="T84" s="138">
        <v>1717.6415267571447</v>
      </c>
      <c r="U84" s="138">
        <v>1553.5572251280425</v>
      </c>
      <c r="V84" s="138">
        <v>1405.1477064042776</v>
      </c>
      <c r="W84" s="138">
        <v>1270.9155767663924</v>
      </c>
    </row>
    <row r="85" spans="1:24" x14ac:dyDescent="0.35">
      <c r="A85" s="12" t="str">
        <v>International outgoing fixed telephone traffic</v>
      </c>
      <c r="B85" s="83"/>
      <c r="D85" s="26">
        <v>50038.750153846158</v>
      </c>
      <c r="E85" s="26">
        <v>11205.67784423077</v>
      </c>
      <c r="F85" s="26">
        <v>11458.345341346154</v>
      </c>
      <c r="G85" s="26">
        <v>9116.3028230769232</v>
      </c>
      <c r="H85" s="26">
        <v>8245.4329943833345</v>
      </c>
      <c r="I85" s="26">
        <v>7457.7563497302071</v>
      </c>
      <c r="J85" s="26">
        <v>6745.325540796639</v>
      </c>
      <c r="K85" s="26">
        <v>6100.9524202234725</v>
      </c>
      <c r="L85" s="26">
        <v>5518.1355160265075</v>
      </c>
      <c r="M85" s="26">
        <v>4990.9944342948629</v>
      </c>
      <c r="N85" s="26">
        <v>4514.2105283234305</v>
      </c>
      <c r="O85" s="26">
        <v>4082.9732355542396</v>
      </c>
      <c r="P85" s="26">
        <v>3692.9315408875527</v>
      </c>
      <c r="Q85" s="26">
        <v>3340.1500766465033</v>
      </c>
      <c r="R85" s="26">
        <v>3021.0694162611749</v>
      </c>
      <c r="S85" s="26">
        <v>2732.4701610509564</v>
      </c>
      <c r="T85" s="26">
        <v>2471.440457754898</v>
      </c>
      <c r="U85" s="26">
        <v>2235.3466190746944</v>
      </c>
      <c r="V85" s="26">
        <v>2021.8065508031007</v>
      </c>
      <c r="W85" s="26">
        <v>1828.665717427933</v>
      </c>
    </row>
    <row r="86" spans="1:24" x14ac:dyDescent="0.35">
      <c r="A86" s="21"/>
      <c r="B86" s="83"/>
      <c r="X86" s="15" t="s">
        <v>92</v>
      </c>
    </row>
    <row r="87" spans="1:24" x14ac:dyDescent="0.35">
      <c r="A87" s="12" t="s">
        <v>93</v>
      </c>
      <c r="B87" s="83"/>
      <c r="X87" s="15"/>
    </row>
    <row r="88" spans="1:24" x14ac:dyDescent="0.35">
      <c r="A88" s="21"/>
      <c r="B88" s="83"/>
      <c r="X88" s="15"/>
    </row>
    <row r="89" spans="1:24" x14ac:dyDescent="0.35">
      <c r="A89" s="21"/>
      <c r="B89" s="83"/>
      <c r="D89" s="52" cm="1">
        <f t="array" ref="D89:W89">years</f>
        <v>2018</v>
      </c>
      <c r="E89" s="52">
        <v>2019</v>
      </c>
      <c r="F89" s="52">
        <v>2020</v>
      </c>
      <c r="G89" s="52">
        <v>2021</v>
      </c>
      <c r="H89" s="52">
        <v>2022</v>
      </c>
      <c r="I89" s="52">
        <v>2023</v>
      </c>
      <c r="J89" s="52">
        <v>2024</v>
      </c>
      <c r="K89" s="52">
        <v>2025</v>
      </c>
      <c r="L89" s="52">
        <v>2026</v>
      </c>
      <c r="M89" s="52">
        <v>2027</v>
      </c>
      <c r="N89" s="52">
        <v>2028</v>
      </c>
      <c r="O89" s="52">
        <v>2029</v>
      </c>
      <c r="P89" s="52">
        <v>2030</v>
      </c>
      <c r="Q89" s="52">
        <v>2031</v>
      </c>
      <c r="R89" s="52">
        <v>2032</v>
      </c>
      <c r="S89" s="52">
        <v>2033</v>
      </c>
      <c r="T89" s="52">
        <v>2034</v>
      </c>
      <c r="U89" s="52">
        <v>2035</v>
      </c>
      <c r="V89" s="52">
        <v>2036</v>
      </c>
      <c r="W89" s="52">
        <v>2037</v>
      </c>
      <c r="X89" s="15"/>
    </row>
    <row r="90" spans="1:24" x14ac:dyDescent="0.35">
      <c r="A90" s="12" t="str" cm="1">
        <f t="array" ref="A90:A96">fixed_services</f>
        <v>On-net fixed to fixed traffic</v>
      </c>
      <c r="B90" s="83"/>
      <c r="D90" s="26">
        <f t="shared" ref="D90:W90" si="0">D79*onnet_factor</f>
        <v>1022808.4736538462</v>
      </c>
      <c r="E90" s="26">
        <f t="shared" si="0"/>
        <v>860322.92988461547</v>
      </c>
      <c r="F90" s="26">
        <f t="shared" si="0"/>
        <v>747744.16569230775</v>
      </c>
      <c r="G90" s="26">
        <f t="shared" si="0"/>
        <v>662163.21207692311</v>
      </c>
      <c r="H90" s="26">
        <f t="shared" si="0"/>
        <v>598907.52890579379</v>
      </c>
      <c r="I90" s="26">
        <f t="shared" si="0"/>
        <v>541694.58773613558</v>
      </c>
      <c r="J90" s="26">
        <f t="shared" si="0"/>
        <v>489947.13243749848</v>
      </c>
      <c r="K90" s="26">
        <f t="shared" si="0"/>
        <v>443143.05148763524</v>
      </c>
      <c r="L90" s="26">
        <f t="shared" si="0"/>
        <v>400810.11007207842</v>
      </c>
      <c r="M90" s="26">
        <f t="shared" si="0"/>
        <v>362521.18542013085</v>
      </c>
      <c r="N90" s="26">
        <f t="shared" si="0"/>
        <v>327889.95730367961</v>
      </c>
      <c r="O90" s="26">
        <f t="shared" si="0"/>
        <v>296567.01021765627</v>
      </c>
      <c r="P90" s="26">
        <f t="shared" si="0"/>
        <v>268236.30791467504</v>
      </c>
      <c r="Q90" s="26">
        <f t="shared" si="0"/>
        <v>242612.00472328439</v>
      </c>
      <c r="R90" s="26">
        <f t="shared" si="0"/>
        <v>219435.56147728628</v>
      </c>
      <c r="S90" s="26">
        <f t="shared" si="0"/>
        <v>198473.13695697993</v>
      </c>
      <c r="T90" s="26">
        <f t="shared" si="0"/>
        <v>179513.22852299639</v>
      </c>
      <c r="U90" s="26">
        <f t="shared" si="0"/>
        <v>162364.53813764459</v>
      </c>
      <c r="V90" s="26">
        <f t="shared" si="0"/>
        <v>146854.04224276167</v>
      </c>
      <c r="W90" s="26">
        <f t="shared" si="0"/>
        <v>132825.24601989231</v>
      </c>
      <c r="X90" s="15"/>
    </row>
    <row r="91" spans="1:24" x14ac:dyDescent="0.35">
      <c r="A91" s="12" t="str">
        <v>Incoming fixed to fixed traffic</v>
      </c>
      <c r="B91" s="83"/>
      <c r="D91" s="26">
        <f t="shared" ref="D91:W91" si="1">D80</f>
        <v>340936.15788461542</v>
      </c>
      <c r="E91" s="26">
        <f t="shared" si="1"/>
        <v>286774.30996153847</v>
      </c>
      <c r="F91" s="26">
        <f t="shared" si="1"/>
        <v>249248.05523076924</v>
      </c>
      <c r="G91" s="26">
        <f t="shared" si="1"/>
        <v>220721.07069230769</v>
      </c>
      <c r="H91" s="26">
        <f t="shared" si="1"/>
        <v>199635.84296859792</v>
      </c>
      <c r="I91" s="26">
        <f t="shared" si="1"/>
        <v>180564.86257871185</v>
      </c>
      <c r="J91" s="26">
        <f t="shared" si="1"/>
        <v>163315.71081249948</v>
      </c>
      <c r="K91" s="26">
        <f t="shared" si="1"/>
        <v>147714.3504958784</v>
      </c>
      <c r="L91" s="26">
        <f t="shared" si="1"/>
        <v>133603.37002402614</v>
      </c>
      <c r="M91" s="26">
        <f t="shared" si="1"/>
        <v>120840.39514004361</v>
      </c>
      <c r="N91" s="26">
        <f t="shared" si="1"/>
        <v>109296.65243455984</v>
      </c>
      <c r="O91" s="26">
        <f t="shared" si="1"/>
        <v>98855.670072552064</v>
      </c>
      <c r="P91" s="26">
        <f t="shared" si="1"/>
        <v>89412.102638224984</v>
      </c>
      <c r="Q91" s="26">
        <f t="shared" si="1"/>
        <v>80870.668241094769</v>
      </c>
      <c r="R91" s="26">
        <f t="shared" si="1"/>
        <v>73145.187159095411</v>
      </c>
      <c r="S91" s="26">
        <f t="shared" si="1"/>
        <v>66157.71231899329</v>
      </c>
      <c r="T91" s="26">
        <f t="shared" si="1"/>
        <v>59837.742840998777</v>
      </c>
      <c r="U91" s="26">
        <f t="shared" si="1"/>
        <v>54121.512712548181</v>
      </c>
      <c r="V91" s="26">
        <f t="shared" si="1"/>
        <v>48951.347414253883</v>
      </c>
      <c r="W91" s="26">
        <f t="shared" si="1"/>
        <v>44275.082006630764</v>
      </c>
      <c r="X91" s="15"/>
    </row>
    <row r="92" spans="1:24" x14ac:dyDescent="0.35">
      <c r="A92" s="12" t="str">
        <v>Off-net fixed to fixed traffic</v>
      </c>
      <c r="B92" s="83"/>
      <c r="D92" s="26">
        <f t="shared" ref="D92:W92" si="2">D81</f>
        <v>340936.15788461542</v>
      </c>
      <c r="E92" s="26">
        <f t="shared" si="2"/>
        <v>286774.30996153847</v>
      </c>
      <c r="F92" s="26">
        <f t="shared" si="2"/>
        <v>249248.05523076924</v>
      </c>
      <c r="G92" s="26">
        <f t="shared" si="2"/>
        <v>220721.07069230769</v>
      </c>
      <c r="H92" s="26">
        <f t="shared" si="2"/>
        <v>199635.84296859792</v>
      </c>
      <c r="I92" s="26">
        <f t="shared" si="2"/>
        <v>180564.86257871185</v>
      </c>
      <c r="J92" s="26">
        <f t="shared" si="2"/>
        <v>163315.71081249948</v>
      </c>
      <c r="K92" s="26">
        <f t="shared" si="2"/>
        <v>147714.3504958784</v>
      </c>
      <c r="L92" s="26">
        <f t="shared" si="2"/>
        <v>133603.37002402614</v>
      </c>
      <c r="M92" s="26">
        <f t="shared" si="2"/>
        <v>120840.39514004361</v>
      </c>
      <c r="N92" s="26">
        <f t="shared" si="2"/>
        <v>109296.65243455984</v>
      </c>
      <c r="O92" s="26">
        <f t="shared" si="2"/>
        <v>98855.670072552064</v>
      </c>
      <c r="P92" s="26">
        <f t="shared" si="2"/>
        <v>89412.102638224984</v>
      </c>
      <c r="Q92" s="26">
        <f t="shared" si="2"/>
        <v>80870.668241094769</v>
      </c>
      <c r="R92" s="26">
        <f t="shared" si="2"/>
        <v>73145.187159095411</v>
      </c>
      <c r="S92" s="26">
        <f t="shared" si="2"/>
        <v>66157.71231899329</v>
      </c>
      <c r="T92" s="26">
        <f t="shared" si="2"/>
        <v>59837.742840998777</v>
      </c>
      <c r="U92" s="26">
        <f t="shared" si="2"/>
        <v>54121.512712548181</v>
      </c>
      <c r="V92" s="26">
        <f t="shared" si="2"/>
        <v>48951.347414253883</v>
      </c>
      <c r="W92" s="26">
        <f t="shared" si="2"/>
        <v>44275.082006630764</v>
      </c>
      <c r="X92" s="15"/>
    </row>
    <row r="93" spans="1:24" x14ac:dyDescent="0.35">
      <c r="A93" s="12" t="str">
        <v>Fixed to Mobile Telephone traffic</v>
      </c>
      <c r="B93" s="83"/>
      <c r="D93" s="26">
        <f t="shared" ref="D93:W93" si="3">D82</f>
        <v>1143408.5218269231</v>
      </c>
      <c r="E93" s="26">
        <f t="shared" si="3"/>
        <v>835109.81076923083</v>
      </c>
      <c r="F93" s="26">
        <f t="shared" si="3"/>
        <v>901968.35134615388</v>
      </c>
      <c r="G93" s="26">
        <f t="shared" si="3"/>
        <v>846029.67403846153</v>
      </c>
      <c r="H93" s="26">
        <f t="shared" si="3"/>
        <v>765209.44114377489</v>
      </c>
      <c r="I93" s="26">
        <f t="shared" si="3"/>
        <v>692109.87130097824</v>
      </c>
      <c r="J93" s="26">
        <f t="shared" si="3"/>
        <v>625993.41852899932</v>
      </c>
      <c r="K93" s="26">
        <f t="shared" si="3"/>
        <v>566192.99375837261</v>
      </c>
      <c r="L93" s="26">
        <f t="shared" si="3"/>
        <v>512105.23416424362</v>
      </c>
      <c r="M93" s="26">
        <f t="shared" si="3"/>
        <v>463184.41547217884</v>
      </c>
      <c r="N93" s="26">
        <f t="shared" si="3"/>
        <v>418936.94581433682</v>
      </c>
      <c r="O93" s="26">
        <f t="shared" si="3"/>
        <v>378916.3855811691</v>
      </c>
      <c r="P93" s="26">
        <f t="shared" si="3"/>
        <v>342718.94302090874</v>
      </c>
      <c r="Q93" s="26">
        <f t="shared" si="3"/>
        <v>309979.40013921133</v>
      </c>
      <c r="R93" s="26">
        <f t="shared" si="3"/>
        <v>280367.42779287562</v>
      </c>
      <c r="S93" s="26">
        <f t="shared" si="3"/>
        <v>253584.25279838443</v>
      </c>
      <c r="T93" s="26">
        <f t="shared" si="3"/>
        <v>229359.64342769841</v>
      </c>
      <c r="U93" s="26">
        <f t="shared" si="3"/>
        <v>207449.18287613837</v>
      </c>
      <c r="V93" s="26">
        <f t="shared" si="3"/>
        <v>187631.80319271635</v>
      </c>
      <c r="W93" s="26">
        <f t="shared" si="3"/>
        <v>169707.55479124011</v>
      </c>
      <c r="X93" s="15"/>
    </row>
    <row r="94" spans="1:24" x14ac:dyDescent="0.35">
      <c r="A94" s="12" t="str">
        <v>Outgoing mobile traffic to fixed networks</v>
      </c>
      <c r="B94" s="83"/>
      <c r="D94" s="26">
        <f t="shared" ref="D94:W94" si="4">D83</f>
        <v>332262.60230769234</v>
      </c>
      <c r="E94" s="26">
        <f t="shared" si="4"/>
        <v>345835.91653846158</v>
      </c>
      <c r="F94" s="26">
        <f t="shared" si="4"/>
        <v>413541.03432692308</v>
      </c>
      <c r="G94" s="26">
        <f t="shared" si="4"/>
        <v>385271.2520192308</v>
      </c>
      <c r="H94" s="26">
        <f t="shared" si="4"/>
        <v>348466.73644333123</v>
      </c>
      <c r="I94" s="26">
        <f t="shared" si="4"/>
        <v>315178.11352663534</v>
      </c>
      <c r="J94" s="26">
        <f t="shared" si="4"/>
        <v>285069.51412380557</v>
      </c>
      <c r="K94" s="26">
        <f t="shared" si="4"/>
        <v>257837.15427916287</v>
      </c>
      <c r="L94" s="26">
        <f t="shared" si="4"/>
        <v>233206.27016575544</v>
      </c>
      <c r="M94" s="26">
        <f t="shared" si="4"/>
        <v>210928.34582614093</v>
      </c>
      <c r="N94" s="26">
        <f t="shared" si="4"/>
        <v>190778.60574387433</v>
      </c>
      <c r="O94" s="26">
        <f t="shared" si="4"/>
        <v>172553.74694673173</v>
      </c>
      <c r="P94" s="26">
        <f t="shared" si="4"/>
        <v>156069.88775948092</v>
      </c>
      <c r="Q94" s="26">
        <f t="shared" si="4"/>
        <v>141160.71250991937</v>
      </c>
      <c r="R94" s="26">
        <f t="shared" si="4"/>
        <v>127675.79346899108</v>
      </c>
      <c r="S94" s="26">
        <f t="shared" si="4"/>
        <v>115479.07309401676</v>
      </c>
      <c r="T94" s="26">
        <f t="shared" si="4"/>
        <v>104447.49126146664</v>
      </c>
      <c r="U94" s="26">
        <f t="shared" si="4"/>
        <v>94469.743638593383</v>
      </c>
      <c r="V94" s="26">
        <f t="shared" si="4"/>
        <v>85445.158666381918</v>
      </c>
      <c r="W94" s="26">
        <f t="shared" si="4"/>
        <v>77282.681823014718</v>
      </c>
      <c r="X94" s="15"/>
    </row>
    <row r="95" spans="1:24" x14ac:dyDescent="0.35">
      <c r="A95" s="12" t="str">
        <v xml:space="preserve">International incoming fixed telephone traffic </v>
      </c>
      <c r="B95" s="83"/>
      <c r="D95" s="26">
        <f t="shared" ref="D95:W95" si="5">D84</f>
        <v>50647.078355769234</v>
      </c>
      <c r="E95" s="26">
        <f t="shared" si="5"/>
        <v>22196.047096153849</v>
      </c>
      <c r="F95" s="26">
        <f t="shared" si="5"/>
        <v>14485.174759615385</v>
      </c>
      <c r="G95" s="26">
        <f t="shared" si="5"/>
        <v>6335.7950826923079</v>
      </c>
      <c r="H95" s="26">
        <f t="shared" si="5"/>
        <v>5730.5439314981431</v>
      </c>
      <c r="I95" s="26">
        <f t="shared" si="5"/>
        <v>5183.1117203487047</v>
      </c>
      <c r="J95" s="26">
        <f t="shared" si="5"/>
        <v>4687.9750730037331</v>
      </c>
      <c r="K95" s="26">
        <f t="shared" si="5"/>
        <v>4240.1382549450045</v>
      </c>
      <c r="L95" s="26">
        <f t="shared" si="5"/>
        <v>3835.0827683749831</v>
      </c>
      <c r="M95" s="26">
        <f t="shared" si="5"/>
        <v>3468.7217623467532</v>
      </c>
      <c r="N95" s="26">
        <f t="shared" si="5"/>
        <v>3137.3587980413331</v>
      </c>
      <c r="O95" s="26">
        <f t="shared" si="5"/>
        <v>2837.650553150188</v>
      </c>
      <c r="P95" s="26">
        <f t="shared" si="5"/>
        <v>2566.5730890647988</v>
      </c>
      <c r="Q95" s="26">
        <f t="shared" si="5"/>
        <v>2321.3913405224625</v>
      </c>
      <c r="R95" s="26">
        <f t="shared" si="5"/>
        <v>2099.631519870823</v>
      </c>
      <c r="S95" s="26">
        <f t="shared" si="5"/>
        <v>1899.0561575209788</v>
      </c>
      <c r="T95" s="26">
        <f t="shared" si="5"/>
        <v>1717.6415267571447</v>
      </c>
      <c r="U95" s="26">
        <f t="shared" si="5"/>
        <v>1553.5572251280425</v>
      </c>
      <c r="V95" s="26">
        <f t="shared" si="5"/>
        <v>1405.1477064042776</v>
      </c>
      <c r="W95" s="26">
        <f t="shared" si="5"/>
        <v>1270.9155767663924</v>
      </c>
      <c r="X95" s="15"/>
    </row>
    <row r="96" spans="1:24" x14ac:dyDescent="0.35">
      <c r="A96" s="12" t="str">
        <v>International outgoing fixed telephone traffic</v>
      </c>
      <c r="B96" s="83"/>
      <c r="D96" s="26">
        <f t="shared" ref="D96:W96" si="6">D85</f>
        <v>50038.750153846158</v>
      </c>
      <c r="E96" s="26">
        <f t="shared" si="6"/>
        <v>11205.67784423077</v>
      </c>
      <c r="F96" s="26">
        <f t="shared" si="6"/>
        <v>11458.345341346154</v>
      </c>
      <c r="G96" s="26">
        <f t="shared" si="6"/>
        <v>9116.3028230769232</v>
      </c>
      <c r="H96" s="26">
        <f t="shared" si="6"/>
        <v>8245.4329943833345</v>
      </c>
      <c r="I96" s="26">
        <f t="shared" si="6"/>
        <v>7457.7563497302071</v>
      </c>
      <c r="J96" s="26">
        <f t="shared" si="6"/>
        <v>6745.325540796639</v>
      </c>
      <c r="K96" s="26">
        <f t="shared" si="6"/>
        <v>6100.9524202234725</v>
      </c>
      <c r="L96" s="26">
        <f t="shared" si="6"/>
        <v>5518.1355160265075</v>
      </c>
      <c r="M96" s="26">
        <f t="shared" si="6"/>
        <v>4990.9944342948629</v>
      </c>
      <c r="N96" s="26">
        <f t="shared" si="6"/>
        <v>4514.2105283234305</v>
      </c>
      <c r="O96" s="26">
        <f t="shared" si="6"/>
        <v>4082.9732355542396</v>
      </c>
      <c r="P96" s="26">
        <f t="shared" si="6"/>
        <v>3692.9315408875527</v>
      </c>
      <c r="Q96" s="26">
        <f t="shared" si="6"/>
        <v>3340.1500766465033</v>
      </c>
      <c r="R96" s="26">
        <f t="shared" si="6"/>
        <v>3021.0694162611749</v>
      </c>
      <c r="S96" s="26">
        <f t="shared" si="6"/>
        <v>2732.4701610509564</v>
      </c>
      <c r="T96" s="26">
        <f t="shared" si="6"/>
        <v>2471.440457754898</v>
      </c>
      <c r="U96" s="26">
        <f t="shared" si="6"/>
        <v>2235.3466190746944</v>
      </c>
      <c r="V96" s="26">
        <f t="shared" si="6"/>
        <v>2021.8065508031007</v>
      </c>
      <c r="W96" s="26">
        <f t="shared" si="6"/>
        <v>1828.665717427933</v>
      </c>
    </row>
    <row r="97" spans="1:46" x14ac:dyDescent="0.35">
      <c r="A97" s="21"/>
      <c r="B97" s="83"/>
      <c r="X97" s="15" t="s">
        <v>94</v>
      </c>
    </row>
    <row r="98" spans="1:46" x14ac:dyDescent="0.35">
      <c r="B98" s="18"/>
    </row>
    <row r="99" spans="1:46" s="49" customFormat="1" x14ac:dyDescent="0.35">
      <c r="A99" s="48" t="s">
        <v>95</v>
      </c>
      <c r="B99" s="149"/>
    </row>
    <row r="100" spans="1:46" x14ac:dyDescent="0.35">
      <c r="B100" s="18"/>
    </row>
    <row r="101" spans="1:46" x14ac:dyDescent="0.35">
      <c r="A101" s="12" t="s">
        <v>96</v>
      </c>
      <c r="B101" s="18"/>
      <c r="D101" s="48" t="s">
        <v>97</v>
      </c>
      <c r="E101" s="49"/>
      <c r="F101" s="49"/>
      <c r="G101" s="49"/>
      <c r="H101" s="49"/>
      <c r="I101" s="49"/>
      <c r="J101" s="49"/>
      <c r="K101" s="49"/>
      <c r="L101" s="49"/>
      <c r="M101" s="49"/>
      <c r="N101" s="49"/>
      <c r="O101" s="49"/>
      <c r="P101" s="49"/>
      <c r="Q101" s="49"/>
      <c r="R101" s="49"/>
      <c r="S101" s="49"/>
      <c r="T101" s="49"/>
      <c r="U101" s="49"/>
      <c r="V101" s="49"/>
      <c r="W101" s="49"/>
      <c r="Z101" s="48" t="s">
        <v>87</v>
      </c>
      <c r="AA101" s="49"/>
      <c r="AB101" s="49"/>
      <c r="AC101" s="49"/>
      <c r="AD101" s="49"/>
      <c r="AE101" s="49"/>
      <c r="AF101" s="49"/>
      <c r="AG101" s="49"/>
      <c r="AH101" s="49"/>
      <c r="AI101" s="49"/>
      <c r="AJ101" s="49"/>
      <c r="AK101" s="49"/>
      <c r="AL101" s="49"/>
      <c r="AM101" s="49"/>
      <c r="AN101" s="49"/>
      <c r="AO101" s="49"/>
      <c r="AP101" s="49"/>
      <c r="AQ101" s="49"/>
      <c r="AR101" s="49"/>
      <c r="AS101" s="49"/>
    </row>
    <row r="102" spans="1:46" x14ac:dyDescent="0.35">
      <c r="A102" s="1"/>
      <c r="B102" s="18"/>
      <c r="C102"/>
      <c r="D102" s="52" cm="1">
        <f t="array" ref="D102:W102">years</f>
        <v>2018</v>
      </c>
      <c r="E102" s="52">
        <v>2019</v>
      </c>
      <c r="F102" s="52">
        <v>2020</v>
      </c>
      <c r="G102" s="52">
        <v>2021</v>
      </c>
      <c r="H102" s="52">
        <v>2022</v>
      </c>
      <c r="I102" s="52">
        <v>2023</v>
      </c>
      <c r="J102" s="52">
        <v>2024</v>
      </c>
      <c r="K102" s="52">
        <v>2025</v>
      </c>
      <c r="L102" s="52">
        <v>2026</v>
      </c>
      <c r="M102" s="52">
        <v>2027</v>
      </c>
      <c r="N102" s="52">
        <v>2028</v>
      </c>
      <c r="O102" s="52">
        <v>2029</v>
      </c>
      <c r="P102" s="52">
        <v>2030</v>
      </c>
      <c r="Q102" s="52">
        <v>2031</v>
      </c>
      <c r="R102" s="52">
        <v>2032</v>
      </c>
      <c r="S102" s="52">
        <v>2033</v>
      </c>
      <c r="T102" s="52">
        <v>2034</v>
      </c>
      <c r="U102" s="52">
        <v>2035</v>
      </c>
      <c r="V102" s="52">
        <v>2036</v>
      </c>
      <c r="W102" s="52">
        <v>2037</v>
      </c>
      <c r="Z102" s="52" cm="1">
        <f t="array" ref="Z102:AS102">years</f>
        <v>2018</v>
      </c>
      <c r="AA102" s="52">
        <v>2019</v>
      </c>
      <c r="AB102" s="52">
        <v>2020</v>
      </c>
      <c r="AC102" s="52">
        <v>2021</v>
      </c>
      <c r="AD102" s="52">
        <v>2022</v>
      </c>
      <c r="AE102" s="52">
        <v>2023</v>
      </c>
      <c r="AF102" s="52">
        <v>2024</v>
      </c>
      <c r="AG102" s="52">
        <v>2025</v>
      </c>
      <c r="AH102" s="52">
        <v>2026</v>
      </c>
      <c r="AI102" s="52">
        <v>2027</v>
      </c>
      <c r="AJ102" s="52">
        <v>2028</v>
      </c>
      <c r="AK102" s="52">
        <v>2029</v>
      </c>
      <c r="AL102" s="52">
        <v>2030</v>
      </c>
      <c r="AM102" s="52">
        <v>2031</v>
      </c>
      <c r="AN102" s="52">
        <v>2032</v>
      </c>
      <c r="AO102" s="52">
        <v>2033</v>
      </c>
      <c r="AP102" s="52">
        <v>2034</v>
      </c>
      <c r="AQ102" s="52">
        <v>2035</v>
      </c>
      <c r="AR102" s="52">
        <v>2036</v>
      </c>
      <c r="AS102" s="52">
        <v>2037</v>
      </c>
    </row>
    <row r="103" spans="1:46" x14ac:dyDescent="0.35">
      <c r="A103" s="12" t="str" cm="1">
        <f t="array" ref="A103:A109">fixed_services</f>
        <v>On-net fixed to fixed traffic</v>
      </c>
      <c r="B103" s="18"/>
      <c r="D103" s="141" cm="1">
        <f t="array" ref="D103:W109">(fixed_minutes_busy_hour/mins_call)</f>
        <v>122638.90571389043</v>
      </c>
      <c r="E103" s="141">
        <v>103156.22660486997</v>
      </c>
      <c r="F103" s="141">
        <v>89657.573824017716</v>
      </c>
      <c r="G103" s="141">
        <v>79396.068594355296</v>
      </c>
      <c r="H103" s="141">
        <v>71811.454305251056</v>
      </c>
      <c r="I103" s="141">
        <v>64951.389416802827</v>
      </c>
      <c r="J103" s="141">
        <v>58746.658565647303</v>
      </c>
      <c r="K103" s="141">
        <v>53134.658451754825</v>
      </c>
      <c r="L103" s="141">
        <v>48058.766195692857</v>
      </c>
      <c r="M103" s="141">
        <v>43467.768035986912</v>
      </c>
      <c r="N103" s="141">
        <v>39315.342602359662</v>
      </c>
      <c r="O103" s="141">
        <v>35559.593551277729</v>
      </c>
      <c r="P103" s="141">
        <v>32162.62684828238</v>
      </c>
      <c r="Q103" s="141">
        <v>29090.168432048489</v>
      </c>
      <c r="R103" s="141">
        <v>26311.218402552313</v>
      </c>
      <c r="S103" s="141">
        <v>23797.738244242199</v>
      </c>
      <c r="T103" s="141">
        <v>21524.367928416832</v>
      </c>
      <c r="U103" s="141">
        <v>19468.170040484962</v>
      </c>
      <c r="V103" s="141">
        <v>17608.39835045104</v>
      </c>
      <c r="W103" s="141">
        <v>15926.288491593803</v>
      </c>
    </row>
    <row r="104" spans="1:46" x14ac:dyDescent="0.35">
      <c r="A104" s="12" t="str">
        <v>Incoming fixed to fixed traffic</v>
      </c>
      <c r="B104" s="18"/>
      <c r="D104" s="142">
        <v>81759.270475926955</v>
      </c>
      <c r="E104" s="142">
        <v>68770.817736579964</v>
      </c>
      <c r="F104" s="142">
        <v>59771.715882678473</v>
      </c>
      <c r="G104" s="142">
        <v>52930.712396236857</v>
      </c>
      <c r="H104" s="142">
        <v>47874.302870167368</v>
      </c>
      <c r="I104" s="142">
        <v>43300.926277868552</v>
      </c>
      <c r="J104" s="142">
        <v>39164.439043764862</v>
      </c>
      <c r="K104" s="142">
        <v>35423.105634503212</v>
      </c>
      <c r="L104" s="142">
        <v>32039.177463795237</v>
      </c>
      <c r="M104" s="142">
        <v>28978.512023991272</v>
      </c>
      <c r="N104" s="142">
        <v>26210.228401573106</v>
      </c>
      <c r="O104" s="142">
        <v>23706.395700851815</v>
      </c>
      <c r="P104" s="142">
        <v>21441.751232188246</v>
      </c>
      <c r="Q104" s="142">
        <v>19393.445621365652</v>
      </c>
      <c r="R104" s="142">
        <v>17540.812268368205</v>
      </c>
      <c r="S104" s="142">
        <v>15865.158829494794</v>
      </c>
      <c r="T104" s="142">
        <v>14349.578618944552</v>
      </c>
      <c r="U104" s="142">
        <v>12978.780026989973</v>
      </c>
      <c r="V104" s="142">
        <v>11738.932233634025</v>
      </c>
      <c r="W104" s="142">
        <v>10617.525661062533</v>
      </c>
    </row>
    <row r="105" spans="1:46" x14ac:dyDescent="0.35">
      <c r="A105" s="12" t="str">
        <v>Off-net fixed to fixed traffic</v>
      </c>
      <c r="B105" s="18"/>
      <c r="D105" s="138">
        <v>81759.270475926955</v>
      </c>
      <c r="E105" s="138">
        <v>68770.817736579964</v>
      </c>
      <c r="F105" s="138">
        <v>59771.715882678473</v>
      </c>
      <c r="G105" s="138">
        <v>52930.712396236857</v>
      </c>
      <c r="H105" s="138">
        <v>47874.302870167368</v>
      </c>
      <c r="I105" s="138">
        <v>43300.926277868552</v>
      </c>
      <c r="J105" s="138">
        <v>39164.439043764862</v>
      </c>
      <c r="K105" s="138">
        <v>35423.105634503212</v>
      </c>
      <c r="L105" s="138">
        <v>32039.177463795237</v>
      </c>
      <c r="M105" s="138">
        <v>28978.512023991272</v>
      </c>
      <c r="N105" s="138">
        <v>26210.228401573106</v>
      </c>
      <c r="O105" s="138">
        <v>23706.395700851815</v>
      </c>
      <c r="P105" s="138">
        <v>21441.751232188246</v>
      </c>
      <c r="Q105" s="138">
        <v>19393.445621365652</v>
      </c>
      <c r="R105" s="138">
        <v>17540.812268368205</v>
      </c>
      <c r="S105" s="138">
        <v>15865.158829494794</v>
      </c>
      <c r="T105" s="138">
        <v>14349.578618944552</v>
      </c>
      <c r="U105" s="138">
        <v>12978.780026989973</v>
      </c>
      <c r="V105" s="138">
        <v>11738.932233634025</v>
      </c>
      <c r="W105" s="138">
        <v>10617.525661062533</v>
      </c>
    </row>
    <row r="106" spans="1:46" x14ac:dyDescent="0.35">
      <c r="A106" s="12" t="str">
        <v>Fixed to Mobile Telephone traffic</v>
      </c>
      <c r="B106" s="18"/>
      <c r="D106" s="138">
        <v>274198.68628943001</v>
      </c>
      <c r="E106" s="138">
        <v>200266.14167127837</v>
      </c>
      <c r="F106" s="138">
        <v>216299.36483121198</v>
      </c>
      <c r="G106" s="138">
        <v>202884.8139180963</v>
      </c>
      <c r="H106" s="138">
        <v>183503.46310402275</v>
      </c>
      <c r="I106" s="138">
        <v>165973.59024004274</v>
      </c>
      <c r="J106" s="138">
        <v>150118.32578633077</v>
      </c>
      <c r="K106" s="138">
        <v>135777.69634493347</v>
      </c>
      <c r="L106" s="138">
        <v>122807.01059094572</v>
      </c>
      <c r="M106" s="138">
        <v>111075.39939380788</v>
      </c>
      <c r="N106" s="138">
        <v>100464.49539912154</v>
      </c>
      <c r="O106" s="138">
        <v>90867.238748481803</v>
      </c>
      <c r="P106" s="138">
        <v>82186.796887508099</v>
      </c>
      <c r="Q106" s="138">
        <v>74335.587563360037</v>
      </c>
      <c r="R106" s="138">
        <v>67234.395154166821</v>
      </c>
      <c r="S106" s="138">
        <v>60811.571414480677</v>
      </c>
      <c r="T106" s="138">
        <v>55002.312572589544</v>
      </c>
      <c r="U106" s="138">
        <v>49748.005485884503</v>
      </c>
      <c r="V106" s="138">
        <v>44995.636257246129</v>
      </c>
      <c r="W106" s="138">
        <v>40697.255345621132</v>
      </c>
    </row>
    <row r="107" spans="1:46" x14ac:dyDescent="0.35">
      <c r="A107" s="12" t="str">
        <v>Outgoing mobile traffic to fixed networks</v>
      </c>
      <c r="B107" s="18"/>
      <c r="D107" s="138">
        <v>79679.28112894301</v>
      </c>
      <c r="E107" s="138">
        <v>82934.272551189832</v>
      </c>
      <c r="F107" s="138">
        <v>99170.511828998337</v>
      </c>
      <c r="G107" s="138">
        <v>92391.18753458772</v>
      </c>
      <c r="H107" s="138">
        <v>83565.164614707726</v>
      </c>
      <c r="I107" s="138">
        <v>75582.28142125548</v>
      </c>
      <c r="J107" s="138">
        <v>68361.99379467759</v>
      </c>
      <c r="K107" s="138">
        <v>61831.451865506686</v>
      </c>
      <c r="L107" s="138">
        <v>55924.765027759102</v>
      </c>
      <c r="M107" s="138">
        <v>50582.337128570965</v>
      </c>
      <c r="N107" s="138">
        <v>45750.265166396719</v>
      </c>
      <c r="O107" s="138">
        <v>41379.795430870916</v>
      </c>
      <c r="P107" s="138">
        <v>37426.831596997821</v>
      </c>
      <c r="Q107" s="138">
        <v>33851.489810532221</v>
      </c>
      <c r="R107" s="138">
        <v>30617.69627553743</v>
      </c>
      <c r="S107" s="138">
        <v>27692.823283936872</v>
      </c>
      <c r="T107" s="138">
        <v>25047.360014740203</v>
      </c>
      <c r="U107" s="138">
        <v>22654.614781437263</v>
      </c>
      <c r="V107" s="138">
        <v>20490.445723352979</v>
      </c>
      <c r="W107" s="138">
        <v>18533.017223744537</v>
      </c>
    </row>
    <row r="108" spans="1:46" x14ac:dyDescent="0.35">
      <c r="A108" s="12" t="str">
        <v xml:space="preserve">International incoming fixed telephone traffic </v>
      </c>
      <c r="B108" s="18"/>
      <c r="D108" s="138">
        <v>12145.582339513006</v>
      </c>
      <c r="E108" s="138">
        <v>5322.7930686220261</v>
      </c>
      <c r="F108" s="138">
        <v>3473.6630118981739</v>
      </c>
      <c r="G108" s="138">
        <v>1519.3753195904815</v>
      </c>
      <c r="H108" s="138">
        <v>1374.2311586326482</v>
      </c>
      <c r="I108" s="138">
        <v>1242.9524509229507</v>
      </c>
      <c r="J108" s="138">
        <v>1124.2146458042525</v>
      </c>
      <c r="K108" s="138">
        <v>1016.8197254064759</v>
      </c>
      <c r="L108" s="138">
        <v>919.6841171163029</v>
      </c>
      <c r="M108" s="138">
        <v>831.82776075461709</v>
      </c>
      <c r="N108" s="138">
        <v>752.36422015379696</v>
      </c>
      <c r="O108" s="138">
        <v>680.4917393645535</v>
      </c>
      <c r="P108" s="138">
        <v>615.48515325294932</v>
      </c>
      <c r="Q108" s="138">
        <v>556.68857086869605</v>
      </c>
      <c r="R108" s="138">
        <v>503.5087577627873</v>
      </c>
      <c r="S108" s="138">
        <v>455.40915048464717</v>
      </c>
      <c r="T108" s="138">
        <v>411.90444286742081</v>
      </c>
      <c r="U108" s="138">
        <v>372.55568947914691</v>
      </c>
      <c r="V108" s="138">
        <v>336.96587683555822</v>
      </c>
      <c r="W108" s="138">
        <v>304.77591768978237</v>
      </c>
    </row>
    <row r="109" spans="1:46" x14ac:dyDescent="0.35">
      <c r="A109" s="12" t="str">
        <v>International outgoing fixed telephone traffic</v>
      </c>
      <c r="B109" s="18"/>
      <c r="D109" s="138">
        <v>11999.700276701717</v>
      </c>
      <c r="E109" s="138">
        <v>2687.2129122855563</v>
      </c>
      <c r="F109" s="138">
        <v>2747.8046382125071</v>
      </c>
      <c r="G109" s="138">
        <v>2186.1637465412286</v>
      </c>
      <c r="H109" s="138">
        <v>1977.3220610031979</v>
      </c>
      <c r="I109" s="138">
        <v>1788.4307793118003</v>
      </c>
      <c r="J109" s="138">
        <v>1617.5840625411604</v>
      </c>
      <c r="K109" s="138">
        <v>1463.0581343461565</v>
      </c>
      <c r="L109" s="138">
        <v>1323.2938887353735</v>
      </c>
      <c r="M109" s="138">
        <v>1196.8811593033245</v>
      </c>
      <c r="N109" s="138">
        <v>1082.5444912046596</v>
      </c>
      <c r="O109" s="138">
        <v>979.13027231516537</v>
      </c>
      <c r="P109" s="138">
        <v>885.59509373802223</v>
      </c>
      <c r="Q109" s="138">
        <v>800.99522221738687</v>
      </c>
      <c r="R109" s="138">
        <v>724.4770782400899</v>
      </c>
      <c r="S109" s="138">
        <v>655.26862375322696</v>
      </c>
      <c r="T109" s="138">
        <v>592.67157260309307</v>
      </c>
      <c r="U109" s="138">
        <v>536.05434510184523</v>
      </c>
      <c r="V109" s="138">
        <v>484.84569563623518</v>
      </c>
      <c r="W109" s="138">
        <v>438.52894902348515</v>
      </c>
      <c r="X109" s="15" t="s">
        <v>98</v>
      </c>
    </row>
    <row r="110" spans="1:46" x14ac:dyDescent="0.35">
      <c r="B110" s="18"/>
      <c r="D110" s="164"/>
      <c r="E110" s="164"/>
      <c r="F110" s="164"/>
      <c r="G110" s="164"/>
      <c r="H110" s="164"/>
      <c r="I110" s="164"/>
      <c r="J110" s="164"/>
      <c r="K110" s="164"/>
      <c r="L110" s="164"/>
      <c r="M110" s="164"/>
      <c r="N110" s="164"/>
      <c r="O110" s="164"/>
      <c r="P110" s="164"/>
      <c r="Q110" s="164"/>
      <c r="R110" s="164"/>
      <c r="S110" s="164"/>
      <c r="T110" s="164"/>
      <c r="U110" s="164"/>
      <c r="V110" s="164"/>
      <c r="W110" s="164"/>
    </row>
    <row r="111" spans="1:46" x14ac:dyDescent="0.35">
      <c r="A111" s="12" t="s">
        <v>99</v>
      </c>
      <c r="B111" s="18"/>
      <c r="D111" s="171">
        <f>SUM(D103:D109)</f>
        <v>664180.69670033199</v>
      </c>
      <c r="E111" s="171">
        <f t="shared" ref="E111:W111" si="7">SUM(E103:E109)</f>
        <v>531908.28228140576</v>
      </c>
      <c r="F111" s="171">
        <f t="shared" si="7"/>
        <v>530892.3498996956</v>
      </c>
      <c r="G111" s="171">
        <f t="shared" si="7"/>
        <v>484239.03390564473</v>
      </c>
      <c r="H111" s="171">
        <f t="shared" si="7"/>
        <v>437980.24098395207</v>
      </c>
      <c r="I111" s="171">
        <f t="shared" si="7"/>
        <v>396140.49686407292</v>
      </c>
      <c r="J111" s="171">
        <f t="shared" si="7"/>
        <v>358297.65494253079</v>
      </c>
      <c r="K111" s="171">
        <f t="shared" si="7"/>
        <v>324069.89579095406</v>
      </c>
      <c r="L111" s="171">
        <f t="shared" si="7"/>
        <v>293111.87474783981</v>
      </c>
      <c r="M111" s="171">
        <f t="shared" si="7"/>
        <v>265111.23752640618</v>
      </c>
      <c r="N111" s="171">
        <f t="shared" si="7"/>
        <v>239785.46868238261</v>
      </c>
      <c r="O111" s="171">
        <f t="shared" si="7"/>
        <v>216879.04114401378</v>
      </c>
      <c r="P111" s="171">
        <f t="shared" si="7"/>
        <v>196160.8380441558</v>
      </c>
      <c r="Q111" s="171">
        <f t="shared" si="7"/>
        <v>177421.8208417581</v>
      </c>
      <c r="R111" s="171">
        <f t="shared" si="7"/>
        <v>160472.92020499587</v>
      </c>
      <c r="S111" s="171">
        <f t="shared" si="7"/>
        <v>145143.12837588723</v>
      </c>
      <c r="T111" s="171">
        <f t="shared" si="7"/>
        <v>131277.77376910619</v>
      </c>
      <c r="U111" s="171">
        <f t="shared" si="7"/>
        <v>118736.96039636768</v>
      </c>
      <c r="V111" s="171">
        <f t="shared" si="7"/>
        <v>107394.15637078999</v>
      </c>
      <c r="W111" s="171">
        <f t="shared" si="7"/>
        <v>97134.9172497978</v>
      </c>
      <c r="X111" s="15" t="s">
        <v>100</v>
      </c>
      <c r="Z111" s="171" cm="1">
        <f t="array" ref="Z111:AS111">D111:W111-D104:W104-D107:W107-D108:W108</f>
        <v>490596.56275594904</v>
      </c>
      <c r="AA111" s="171">
        <v>374880.39892501396</v>
      </c>
      <c r="AB111" s="171">
        <v>368476.45917612064</v>
      </c>
      <c r="AC111" s="171">
        <v>337397.75865522964</v>
      </c>
      <c r="AD111" s="171">
        <v>305166.54234044428</v>
      </c>
      <c r="AE111" s="171">
        <v>276014.33671402594</v>
      </c>
      <c r="AF111" s="171">
        <v>249647.00745828409</v>
      </c>
      <c r="AG111" s="171">
        <v>225798.51856553767</v>
      </c>
      <c r="AH111" s="171">
        <v>204228.24813916918</v>
      </c>
      <c r="AI111" s="171">
        <v>184718.56061308933</v>
      </c>
      <c r="AJ111" s="171">
        <v>167072.61089425898</v>
      </c>
      <c r="AK111" s="171">
        <v>151112.3582729265</v>
      </c>
      <c r="AL111" s="171">
        <v>136676.77006171676</v>
      </c>
      <c r="AM111" s="171">
        <v>123620.19683899154</v>
      </c>
      <c r="AN111" s="171">
        <v>111810.90290332746</v>
      </c>
      <c r="AO111" s="171">
        <v>101129.73711197093</v>
      </c>
      <c r="AP111" s="171">
        <v>91468.930692554015</v>
      </c>
      <c r="AQ111" s="171">
        <v>82731.009898461285</v>
      </c>
      <c r="AR111" s="171">
        <v>74827.812536967424</v>
      </c>
      <c r="AS111" s="171">
        <v>67679.598447300945</v>
      </c>
      <c r="AT111" s="15" t="s">
        <v>101</v>
      </c>
    </row>
    <row r="112" spans="1:46" x14ac:dyDescent="0.35">
      <c r="B112" s="18"/>
      <c r="D112" s="164"/>
      <c r="E112" s="164"/>
      <c r="F112" s="164"/>
      <c r="G112" s="164"/>
      <c r="H112" s="164"/>
      <c r="I112" s="164"/>
      <c r="J112" s="164"/>
      <c r="K112" s="164"/>
      <c r="L112" s="164"/>
      <c r="M112" s="164"/>
      <c r="N112" s="164"/>
      <c r="O112" s="164"/>
      <c r="P112" s="164"/>
      <c r="Q112" s="164"/>
      <c r="R112" s="164"/>
      <c r="S112" s="164"/>
      <c r="T112" s="164"/>
      <c r="U112" s="164"/>
      <c r="V112" s="164"/>
      <c r="W112" s="164"/>
      <c r="X112" s="15"/>
    </row>
    <row r="113" spans="1:46" x14ac:dyDescent="0.35">
      <c r="A113" s="12" t="s">
        <v>436</v>
      </c>
      <c r="B113" s="18"/>
      <c r="D113" s="164"/>
      <c r="E113" s="164"/>
      <c r="F113" s="164"/>
      <c r="G113" s="164"/>
      <c r="H113" s="164"/>
      <c r="I113" s="164"/>
      <c r="J113" s="164"/>
      <c r="K113" s="164"/>
      <c r="L113" s="164"/>
      <c r="M113" s="164"/>
      <c r="N113" s="164"/>
      <c r="O113" s="164"/>
      <c r="P113" s="164"/>
      <c r="Q113" s="164"/>
      <c r="R113" s="164"/>
      <c r="S113" s="164"/>
      <c r="T113" s="164"/>
      <c r="U113" s="164"/>
      <c r="V113" s="164"/>
      <c r="W113" s="164"/>
      <c r="X113" s="15"/>
    </row>
    <row r="114" spans="1:46" x14ac:dyDescent="0.35">
      <c r="B114" s="18"/>
      <c r="D114" s="164"/>
      <c r="E114" s="164"/>
      <c r="F114" s="164"/>
      <c r="G114" s="164"/>
      <c r="H114" s="164"/>
      <c r="I114" s="164"/>
      <c r="J114" s="164"/>
      <c r="K114" s="164"/>
      <c r="L114" s="164"/>
      <c r="M114" s="164"/>
      <c r="N114" s="164"/>
      <c r="O114" s="164"/>
      <c r="P114" s="164"/>
      <c r="Q114" s="164"/>
      <c r="R114" s="164"/>
      <c r="S114" s="164"/>
      <c r="T114" s="164"/>
      <c r="U114" s="164"/>
      <c r="V114" s="164"/>
      <c r="W114" s="164"/>
      <c r="X114" s="15"/>
    </row>
    <row r="115" spans="1:46" x14ac:dyDescent="0.35">
      <c r="B115" s="18"/>
      <c r="D115" s="52" cm="1">
        <f t="array" ref="D115:W115">years</f>
        <v>2018</v>
      </c>
      <c r="E115" s="52">
        <v>2019</v>
      </c>
      <c r="F115" s="52">
        <v>2020</v>
      </c>
      <c r="G115" s="52">
        <v>2021</v>
      </c>
      <c r="H115" s="52">
        <v>2022</v>
      </c>
      <c r="I115" s="52">
        <v>2023</v>
      </c>
      <c r="J115" s="52">
        <v>2024</v>
      </c>
      <c r="K115" s="52">
        <v>2025</v>
      </c>
      <c r="L115" s="52">
        <v>2026</v>
      </c>
      <c r="M115" s="52">
        <v>2027</v>
      </c>
      <c r="N115" s="52">
        <v>2028</v>
      </c>
      <c r="O115" s="52">
        <v>2029</v>
      </c>
      <c r="P115" s="52">
        <v>2030</v>
      </c>
      <c r="Q115" s="52">
        <v>2031</v>
      </c>
      <c r="R115" s="52">
        <v>2032</v>
      </c>
      <c r="S115" s="52">
        <v>2033</v>
      </c>
      <c r="T115" s="52">
        <v>2034</v>
      </c>
      <c r="U115" s="52">
        <v>2035</v>
      </c>
      <c r="V115" s="52">
        <v>2036</v>
      </c>
      <c r="W115" s="52">
        <v>2037</v>
      </c>
      <c r="X115" s="15"/>
      <c r="Z115" s="52" cm="1">
        <f t="array" ref="Z115:AS115">years</f>
        <v>2018</v>
      </c>
      <c r="AA115" s="52">
        <v>2019</v>
      </c>
      <c r="AB115" s="52">
        <v>2020</v>
      </c>
      <c r="AC115" s="52">
        <v>2021</v>
      </c>
      <c r="AD115" s="52">
        <v>2022</v>
      </c>
      <c r="AE115" s="52">
        <v>2023</v>
      </c>
      <c r="AF115" s="52">
        <v>2024</v>
      </c>
      <c r="AG115" s="52">
        <v>2025</v>
      </c>
      <c r="AH115" s="52">
        <v>2026</v>
      </c>
      <c r="AI115" s="52">
        <v>2027</v>
      </c>
      <c r="AJ115" s="52">
        <v>2028</v>
      </c>
      <c r="AK115" s="52">
        <v>2029</v>
      </c>
      <c r="AL115" s="52">
        <v>2030</v>
      </c>
      <c r="AM115" s="52">
        <v>2031</v>
      </c>
      <c r="AN115" s="52">
        <v>2032</v>
      </c>
      <c r="AO115" s="52">
        <v>2033</v>
      </c>
      <c r="AP115" s="52">
        <v>2034</v>
      </c>
      <c r="AQ115" s="52">
        <v>2035</v>
      </c>
      <c r="AR115" s="52">
        <v>2036</v>
      </c>
      <c r="AS115" s="52">
        <v>2037</v>
      </c>
      <c r="AT115"/>
    </row>
    <row r="116" spans="1:46" x14ac:dyDescent="0.35">
      <c r="A116" s="12" t="str" cm="1">
        <f t="array" ref="A116:A122">fixed_services</f>
        <v>On-net fixed to fixed traffic</v>
      </c>
      <c r="B116" s="18"/>
      <c r="D116" s="138">
        <f>D103*onnet_factor</f>
        <v>245277.81142778086</v>
      </c>
      <c r="E116" s="138">
        <f t="shared" ref="E116:W116" si="8">E103*onnet_factor</f>
        <v>206312.45320973994</v>
      </c>
      <c r="F116" s="138">
        <f t="shared" si="8"/>
        <v>179315.14764803543</v>
      </c>
      <c r="G116" s="138">
        <f t="shared" si="8"/>
        <v>158792.13718871059</v>
      </c>
      <c r="H116" s="138">
        <f t="shared" si="8"/>
        <v>143622.90861050211</v>
      </c>
      <c r="I116" s="138">
        <f t="shared" si="8"/>
        <v>129902.77883360565</v>
      </c>
      <c r="J116" s="138">
        <f t="shared" si="8"/>
        <v>117493.31713129461</v>
      </c>
      <c r="K116" s="138">
        <f t="shared" si="8"/>
        <v>106269.31690350965</v>
      </c>
      <c r="L116" s="138">
        <f t="shared" si="8"/>
        <v>96117.532391385714</v>
      </c>
      <c r="M116" s="138">
        <f t="shared" si="8"/>
        <v>86935.536071973824</v>
      </c>
      <c r="N116" s="138">
        <f t="shared" si="8"/>
        <v>78630.685204719324</v>
      </c>
      <c r="O116" s="138">
        <f t="shared" si="8"/>
        <v>71119.187102555457</v>
      </c>
      <c r="P116" s="138">
        <f t="shared" si="8"/>
        <v>64325.25369656476</v>
      </c>
      <c r="Q116" s="138">
        <f t="shared" si="8"/>
        <v>58180.336864096978</v>
      </c>
      <c r="R116" s="138">
        <f t="shared" si="8"/>
        <v>52622.436805104626</v>
      </c>
      <c r="S116" s="138">
        <f t="shared" si="8"/>
        <v>47595.476488484397</v>
      </c>
      <c r="T116" s="138">
        <f t="shared" si="8"/>
        <v>43048.735856833664</v>
      </c>
      <c r="U116" s="138">
        <f t="shared" si="8"/>
        <v>38936.340080969923</v>
      </c>
      <c r="V116" s="138">
        <f t="shared" si="8"/>
        <v>35216.796700902079</v>
      </c>
      <c r="W116" s="138">
        <f t="shared" si="8"/>
        <v>31852.576983187606</v>
      </c>
      <c r="X116" s="15"/>
    </row>
    <row r="117" spans="1:46" x14ac:dyDescent="0.35">
      <c r="A117" s="12" t="str">
        <v>Incoming fixed to fixed traffic</v>
      </c>
      <c r="B117" s="18"/>
      <c r="D117" s="138">
        <f t="shared" ref="D117:D122" si="9">D104</f>
        <v>81759.270475926955</v>
      </c>
      <c r="E117" s="138">
        <f t="shared" ref="E117:W117" si="10">E104</f>
        <v>68770.817736579964</v>
      </c>
      <c r="F117" s="138">
        <f t="shared" si="10"/>
        <v>59771.715882678473</v>
      </c>
      <c r="G117" s="138">
        <f t="shared" si="10"/>
        <v>52930.712396236857</v>
      </c>
      <c r="H117" s="138">
        <f t="shared" si="10"/>
        <v>47874.302870167368</v>
      </c>
      <c r="I117" s="138">
        <f t="shared" si="10"/>
        <v>43300.926277868552</v>
      </c>
      <c r="J117" s="138">
        <f t="shared" si="10"/>
        <v>39164.439043764862</v>
      </c>
      <c r="K117" s="138">
        <f t="shared" si="10"/>
        <v>35423.105634503212</v>
      </c>
      <c r="L117" s="138">
        <f t="shared" si="10"/>
        <v>32039.177463795237</v>
      </c>
      <c r="M117" s="138">
        <f t="shared" si="10"/>
        <v>28978.512023991272</v>
      </c>
      <c r="N117" s="138">
        <f t="shared" si="10"/>
        <v>26210.228401573106</v>
      </c>
      <c r="O117" s="138">
        <f t="shared" si="10"/>
        <v>23706.395700851815</v>
      </c>
      <c r="P117" s="138">
        <f t="shared" si="10"/>
        <v>21441.751232188246</v>
      </c>
      <c r="Q117" s="138">
        <f t="shared" si="10"/>
        <v>19393.445621365652</v>
      </c>
      <c r="R117" s="138">
        <f t="shared" si="10"/>
        <v>17540.812268368205</v>
      </c>
      <c r="S117" s="138">
        <f t="shared" si="10"/>
        <v>15865.158829494794</v>
      </c>
      <c r="T117" s="138">
        <f t="shared" si="10"/>
        <v>14349.578618944552</v>
      </c>
      <c r="U117" s="138">
        <f t="shared" si="10"/>
        <v>12978.780026989973</v>
      </c>
      <c r="V117" s="138">
        <f t="shared" si="10"/>
        <v>11738.932233634025</v>
      </c>
      <c r="W117" s="138">
        <f t="shared" si="10"/>
        <v>10617.525661062533</v>
      </c>
      <c r="X117" s="15"/>
    </row>
    <row r="118" spans="1:46" x14ac:dyDescent="0.35">
      <c r="A118" s="12" t="str">
        <v>Off-net fixed to fixed traffic</v>
      </c>
      <c r="B118" s="18"/>
      <c r="D118" s="138">
        <f t="shared" si="9"/>
        <v>81759.270475926955</v>
      </c>
      <c r="E118" s="138">
        <f t="shared" ref="E118:W118" si="11">E105</f>
        <v>68770.817736579964</v>
      </c>
      <c r="F118" s="138">
        <f t="shared" si="11"/>
        <v>59771.715882678473</v>
      </c>
      <c r="G118" s="138">
        <f t="shared" si="11"/>
        <v>52930.712396236857</v>
      </c>
      <c r="H118" s="138">
        <f t="shared" si="11"/>
        <v>47874.302870167368</v>
      </c>
      <c r="I118" s="138">
        <f t="shared" si="11"/>
        <v>43300.926277868552</v>
      </c>
      <c r="J118" s="138">
        <f t="shared" si="11"/>
        <v>39164.439043764862</v>
      </c>
      <c r="K118" s="138">
        <f t="shared" si="11"/>
        <v>35423.105634503212</v>
      </c>
      <c r="L118" s="138">
        <f t="shared" si="11"/>
        <v>32039.177463795237</v>
      </c>
      <c r="M118" s="138">
        <f t="shared" si="11"/>
        <v>28978.512023991272</v>
      </c>
      <c r="N118" s="138">
        <f t="shared" si="11"/>
        <v>26210.228401573106</v>
      </c>
      <c r="O118" s="138">
        <f t="shared" si="11"/>
        <v>23706.395700851815</v>
      </c>
      <c r="P118" s="138">
        <f t="shared" si="11"/>
        <v>21441.751232188246</v>
      </c>
      <c r="Q118" s="138">
        <f t="shared" si="11"/>
        <v>19393.445621365652</v>
      </c>
      <c r="R118" s="138">
        <f t="shared" si="11"/>
        <v>17540.812268368205</v>
      </c>
      <c r="S118" s="138">
        <f t="shared" si="11"/>
        <v>15865.158829494794</v>
      </c>
      <c r="T118" s="138">
        <f t="shared" si="11"/>
        <v>14349.578618944552</v>
      </c>
      <c r="U118" s="138">
        <f t="shared" si="11"/>
        <v>12978.780026989973</v>
      </c>
      <c r="V118" s="138">
        <f t="shared" si="11"/>
        <v>11738.932233634025</v>
      </c>
      <c r="W118" s="138">
        <f t="shared" si="11"/>
        <v>10617.525661062533</v>
      </c>
      <c r="X118" s="15"/>
    </row>
    <row r="119" spans="1:46" x14ac:dyDescent="0.35">
      <c r="A119" s="12" t="str">
        <v>Fixed to Mobile Telephone traffic</v>
      </c>
      <c r="B119" s="18"/>
      <c r="D119" s="138">
        <f t="shared" si="9"/>
        <v>274198.68628943001</v>
      </c>
      <c r="E119" s="138">
        <f t="shared" ref="E119:W119" si="12">E106</f>
        <v>200266.14167127837</v>
      </c>
      <c r="F119" s="138">
        <f t="shared" si="12"/>
        <v>216299.36483121198</v>
      </c>
      <c r="G119" s="138">
        <f t="shared" si="12"/>
        <v>202884.8139180963</v>
      </c>
      <c r="H119" s="138">
        <f t="shared" si="12"/>
        <v>183503.46310402275</v>
      </c>
      <c r="I119" s="138">
        <f t="shared" si="12"/>
        <v>165973.59024004274</v>
      </c>
      <c r="J119" s="138">
        <f t="shared" si="12"/>
        <v>150118.32578633077</v>
      </c>
      <c r="K119" s="138">
        <f t="shared" si="12"/>
        <v>135777.69634493347</v>
      </c>
      <c r="L119" s="138">
        <f t="shared" si="12"/>
        <v>122807.01059094572</v>
      </c>
      <c r="M119" s="138">
        <f t="shared" si="12"/>
        <v>111075.39939380788</v>
      </c>
      <c r="N119" s="138">
        <f t="shared" si="12"/>
        <v>100464.49539912154</v>
      </c>
      <c r="O119" s="138">
        <f t="shared" si="12"/>
        <v>90867.238748481803</v>
      </c>
      <c r="P119" s="138">
        <f t="shared" si="12"/>
        <v>82186.796887508099</v>
      </c>
      <c r="Q119" s="138">
        <f t="shared" si="12"/>
        <v>74335.587563360037</v>
      </c>
      <c r="R119" s="138">
        <f t="shared" si="12"/>
        <v>67234.395154166821</v>
      </c>
      <c r="S119" s="138">
        <f t="shared" si="12"/>
        <v>60811.571414480677</v>
      </c>
      <c r="T119" s="138">
        <f t="shared" si="12"/>
        <v>55002.312572589544</v>
      </c>
      <c r="U119" s="138">
        <f t="shared" si="12"/>
        <v>49748.005485884503</v>
      </c>
      <c r="V119" s="138">
        <f t="shared" si="12"/>
        <v>44995.636257246129</v>
      </c>
      <c r="W119" s="138">
        <f t="shared" si="12"/>
        <v>40697.255345621132</v>
      </c>
      <c r="X119" s="15"/>
    </row>
    <row r="120" spans="1:46" x14ac:dyDescent="0.35">
      <c r="A120" s="12" t="str">
        <v>Outgoing mobile traffic to fixed networks</v>
      </c>
      <c r="B120" s="18"/>
      <c r="D120" s="138">
        <f t="shared" si="9"/>
        <v>79679.28112894301</v>
      </c>
      <c r="E120" s="138">
        <f t="shared" ref="E120:W120" si="13">E107</f>
        <v>82934.272551189832</v>
      </c>
      <c r="F120" s="138">
        <f t="shared" si="13"/>
        <v>99170.511828998337</v>
      </c>
      <c r="G120" s="138">
        <f t="shared" si="13"/>
        <v>92391.18753458772</v>
      </c>
      <c r="H120" s="138">
        <f t="shared" si="13"/>
        <v>83565.164614707726</v>
      </c>
      <c r="I120" s="138">
        <f t="shared" si="13"/>
        <v>75582.28142125548</v>
      </c>
      <c r="J120" s="138">
        <f t="shared" si="13"/>
        <v>68361.99379467759</v>
      </c>
      <c r="K120" s="138">
        <f t="shared" si="13"/>
        <v>61831.451865506686</v>
      </c>
      <c r="L120" s="138">
        <f t="shared" si="13"/>
        <v>55924.765027759102</v>
      </c>
      <c r="M120" s="138">
        <f t="shared" si="13"/>
        <v>50582.337128570965</v>
      </c>
      <c r="N120" s="138">
        <f t="shared" si="13"/>
        <v>45750.265166396719</v>
      </c>
      <c r="O120" s="138">
        <f t="shared" si="13"/>
        <v>41379.795430870916</v>
      </c>
      <c r="P120" s="138">
        <f t="shared" si="13"/>
        <v>37426.831596997821</v>
      </c>
      <c r="Q120" s="138">
        <f t="shared" si="13"/>
        <v>33851.489810532221</v>
      </c>
      <c r="R120" s="138">
        <f t="shared" si="13"/>
        <v>30617.69627553743</v>
      </c>
      <c r="S120" s="138">
        <f t="shared" si="13"/>
        <v>27692.823283936872</v>
      </c>
      <c r="T120" s="138">
        <f t="shared" si="13"/>
        <v>25047.360014740203</v>
      </c>
      <c r="U120" s="138">
        <f t="shared" si="13"/>
        <v>22654.614781437263</v>
      </c>
      <c r="V120" s="138">
        <f t="shared" si="13"/>
        <v>20490.445723352979</v>
      </c>
      <c r="W120" s="138">
        <f t="shared" si="13"/>
        <v>18533.017223744537</v>
      </c>
      <c r="X120" s="15"/>
    </row>
    <row r="121" spans="1:46" x14ac:dyDescent="0.35">
      <c r="A121" s="12" t="str">
        <v xml:space="preserve">International incoming fixed telephone traffic </v>
      </c>
      <c r="B121" s="18"/>
      <c r="D121" s="138">
        <f t="shared" si="9"/>
        <v>12145.582339513006</v>
      </c>
      <c r="E121" s="138">
        <f t="shared" ref="E121:W122" si="14">E108</f>
        <v>5322.7930686220261</v>
      </c>
      <c r="F121" s="138">
        <f t="shared" si="14"/>
        <v>3473.6630118981739</v>
      </c>
      <c r="G121" s="138">
        <f t="shared" si="14"/>
        <v>1519.3753195904815</v>
      </c>
      <c r="H121" s="138">
        <f t="shared" si="14"/>
        <v>1374.2311586326482</v>
      </c>
      <c r="I121" s="138">
        <f t="shared" si="14"/>
        <v>1242.9524509229507</v>
      </c>
      <c r="J121" s="138">
        <f t="shared" si="14"/>
        <v>1124.2146458042525</v>
      </c>
      <c r="K121" s="138">
        <f t="shared" si="14"/>
        <v>1016.8197254064759</v>
      </c>
      <c r="L121" s="138">
        <f t="shared" si="14"/>
        <v>919.6841171163029</v>
      </c>
      <c r="M121" s="138">
        <f t="shared" si="14"/>
        <v>831.82776075461709</v>
      </c>
      <c r="N121" s="138">
        <f t="shared" si="14"/>
        <v>752.36422015379696</v>
      </c>
      <c r="O121" s="138">
        <f t="shared" si="14"/>
        <v>680.4917393645535</v>
      </c>
      <c r="P121" s="138">
        <f t="shared" si="14"/>
        <v>615.48515325294932</v>
      </c>
      <c r="Q121" s="138">
        <f t="shared" si="14"/>
        <v>556.68857086869605</v>
      </c>
      <c r="R121" s="138">
        <f t="shared" si="14"/>
        <v>503.5087577627873</v>
      </c>
      <c r="S121" s="138">
        <f t="shared" si="14"/>
        <v>455.40915048464717</v>
      </c>
      <c r="T121" s="138">
        <f t="shared" si="14"/>
        <v>411.90444286742081</v>
      </c>
      <c r="U121" s="138">
        <f t="shared" si="14"/>
        <v>372.55568947914691</v>
      </c>
      <c r="V121" s="138">
        <f t="shared" si="14"/>
        <v>336.96587683555822</v>
      </c>
      <c r="W121" s="138">
        <f t="shared" si="14"/>
        <v>304.77591768978237</v>
      </c>
    </row>
    <row r="122" spans="1:46" x14ac:dyDescent="0.35">
      <c r="A122" s="12" t="str">
        <v>International outgoing fixed telephone traffic</v>
      </c>
      <c r="B122" s="18"/>
      <c r="D122" s="138">
        <f t="shared" si="9"/>
        <v>11999.700276701717</v>
      </c>
      <c r="E122" s="138">
        <f t="shared" si="14"/>
        <v>2687.2129122855563</v>
      </c>
      <c r="F122" s="138">
        <f t="shared" si="14"/>
        <v>2747.8046382125071</v>
      </c>
      <c r="G122" s="138">
        <f t="shared" si="14"/>
        <v>2186.1637465412286</v>
      </c>
      <c r="H122" s="138">
        <f t="shared" si="14"/>
        <v>1977.3220610031979</v>
      </c>
      <c r="I122" s="138">
        <f t="shared" si="14"/>
        <v>1788.4307793118003</v>
      </c>
      <c r="J122" s="138">
        <f t="shared" si="14"/>
        <v>1617.5840625411604</v>
      </c>
      <c r="K122" s="138">
        <f t="shared" si="14"/>
        <v>1463.0581343461565</v>
      </c>
      <c r="L122" s="138">
        <f t="shared" si="14"/>
        <v>1323.2938887353735</v>
      </c>
      <c r="M122" s="138">
        <f t="shared" si="14"/>
        <v>1196.8811593033245</v>
      </c>
      <c r="N122" s="138">
        <f t="shared" si="14"/>
        <v>1082.5444912046596</v>
      </c>
      <c r="O122" s="138">
        <f t="shared" si="14"/>
        <v>979.13027231516537</v>
      </c>
      <c r="P122" s="138">
        <f t="shared" si="14"/>
        <v>885.59509373802223</v>
      </c>
      <c r="Q122" s="138">
        <f t="shared" si="14"/>
        <v>800.99522221738687</v>
      </c>
      <c r="R122" s="138">
        <f t="shared" si="14"/>
        <v>724.4770782400899</v>
      </c>
      <c r="S122" s="138">
        <f t="shared" si="14"/>
        <v>655.26862375322696</v>
      </c>
      <c r="T122" s="138">
        <f t="shared" si="14"/>
        <v>592.67157260309307</v>
      </c>
      <c r="U122" s="138">
        <f t="shared" si="14"/>
        <v>536.05434510184523</v>
      </c>
      <c r="V122" s="138">
        <f t="shared" si="14"/>
        <v>484.84569563623518</v>
      </c>
      <c r="W122" s="138">
        <f t="shared" si="14"/>
        <v>438.52894902348515</v>
      </c>
      <c r="X122" s="15" t="s">
        <v>102</v>
      </c>
    </row>
    <row r="123" spans="1:46" x14ac:dyDescent="0.35">
      <c r="B123" s="18"/>
      <c r="D123" s="164"/>
      <c r="E123" s="164"/>
      <c r="F123" s="164"/>
      <c r="G123" s="164"/>
      <c r="H123" s="164"/>
      <c r="I123" s="164"/>
      <c r="J123" s="164"/>
      <c r="K123" s="164"/>
      <c r="L123" s="164"/>
      <c r="M123" s="164"/>
      <c r="N123" s="164"/>
      <c r="O123" s="164"/>
      <c r="P123" s="164"/>
      <c r="Q123" s="164"/>
      <c r="R123" s="164"/>
      <c r="S123" s="164"/>
      <c r="T123" s="164"/>
      <c r="U123" s="164"/>
      <c r="V123" s="164"/>
      <c r="W123" s="164"/>
      <c r="X123" s="15"/>
    </row>
    <row r="124" spans="1:46" x14ac:dyDescent="0.35">
      <c r="A124" s="12" t="s">
        <v>99</v>
      </c>
      <c r="B124" s="18"/>
      <c r="D124" s="138">
        <f>SUM(D116:D122)</f>
        <v>786819.60241422243</v>
      </c>
      <c r="E124" s="138">
        <f t="shared" ref="E124:W124" si="15">SUM(E116:E122)</f>
        <v>635064.5088862757</v>
      </c>
      <c r="F124" s="138">
        <f t="shared" si="15"/>
        <v>620549.92372371338</v>
      </c>
      <c r="G124" s="138">
        <f t="shared" si="15"/>
        <v>563635.10250000004</v>
      </c>
      <c r="H124" s="138">
        <f t="shared" si="15"/>
        <v>509791.6952892032</v>
      </c>
      <c r="I124" s="138">
        <f t="shared" si="15"/>
        <v>461091.88628087571</v>
      </c>
      <c r="J124" s="138">
        <f t="shared" si="15"/>
        <v>417044.31350817811</v>
      </c>
      <c r="K124" s="138">
        <f t="shared" si="15"/>
        <v>377204.55424270884</v>
      </c>
      <c r="L124" s="138">
        <f t="shared" si="15"/>
        <v>341170.64094353275</v>
      </c>
      <c r="M124" s="138">
        <f t="shared" si="15"/>
        <v>308579.00556239311</v>
      </c>
      <c r="N124" s="138">
        <f t="shared" si="15"/>
        <v>279100.81128474226</v>
      </c>
      <c r="O124" s="138">
        <f t="shared" si="15"/>
        <v>252438.63469529155</v>
      </c>
      <c r="P124" s="138">
        <f t="shared" si="15"/>
        <v>228323.46489243818</v>
      </c>
      <c r="Q124" s="138">
        <f t="shared" si="15"/>
        <v>206511.98927380663</v>
      </c>
      <c r="R124" s="138">
        <f t="shared" si="15"/>
        <v>186784.13860754817</v>
      </c>
      <c r="S124" s="138">
        <f t="shared" si="15"/>
        <v>168940.86662012944</v>
      </c>
      <c r="T124" s="138">
        <f t="shared" si="15"/>
        <v>152802.14169752301</v>
      </c>
      <c r="U124" s="138">
        <f t="shared" si="15"/>
        <v>138205.13043685263</v>
      </c>
      <c r="V124" s="138">
        <f t="shared" si="15"/>
        <v>125002.55472124105</v>
      </c>
      <c r="W124" s="138">
        <f t="shared" si="15"/>
        <v>113061.2057413916</v>
      </c>
      <c r="X124" s="15" t="s">
        <v>103</v>
      </c>
      <c r="Z124" s="138" cm="1">
        <f t="array" ref="Z124:AS124">D124:W124-D117:W117-D120:W120-D121:W121</f>
        <v>613235.46846983954</v>
      </c>
      <c r="AA124" s="138">
        <v>478036.62552988395</v>
      </c>
      <c r="AB124" s="138">
        <v>458134.03300013836</v>
      </c>
      <c r="AC124" s="138">
        <v>416793.82724958501</v>
      </c>
      <c r="AD124" s="138">
        <v>376977.99664569541</v>
      </c>
      <c r="AE124" s="138">
        <v>340965.72613082873</v>
      </c>
      <c r="AF124" s="138">
        <v>308393.66602393141</v>
      </c>
      <c r="AG124" s="138">
        <v>278933.17701729247</v>
      </c>
      <c r="AH124" s="138">
        <v>252287.01433486212</v>
      </c>
      <c r="AI124" s="138">
        <v>228186.32864907625</v>
      </c>
      <c r="AJ124" s="138">
        <v>206387.95349661863</v>
      </c>
      <c r="AK124" s="138">
        <v>186671.95182420427</v>
      </c>
      <c r="AL124" s="138">
        <v>168839.39690999914</v>
      </c>
      <c r="AM124" s="138">
        <v>152710.36527104006</v>
      </c>
      <c r="AN124" s="138">
        <v>138122.12130587976</v>
      </c>
      <c r="AO124" s="138">
        <v>124927.47535621314</v>
      </c>
      <c r="AP124" s="138">
        <v>112993.29862097082</v>
      </c>
      <c r="AQ124" s="138">
        <v>102199.17993894624</v>
      </c>
      <c r="AR124" s="138">
        <v>92436.210887418478</v>
      </c>
      <c r="AS124" s="138">
        <v>83605.88693889475</v>
      </c>
      <c r="AT124" s="15" t="s">
        <v>104</v>
      </c>
    </row>
    <row r="125" spans="1:46" x14ac:dyDescent="0.35">
      <c r="B125" s="18"/>
      <c r="D125" s="164"/>
      <c r="E125" s="164"/>
      <c r="F125" s="164"/>
      <c r="G125" s="164"/>
      <c r="H125" s="164"/>
      <c r="I125" s="164"/>
      <c r="J125" s="164"/>
      <c r="K125" s="164"/>
      <c r="L125" s="164"/>
      <c r="M125" s="164"/>
      <c r="N125" s="164"/>
      <c r="O125" s="164"/>
      <c r="P125" s="164"/>
      <c r="Q125" s="164"/>
      <c r="R125" s="164"/>
      <c r="S125" s="164"/>
      <c r="T125" s="164"/>
      <c r="U125" s="164"/>
      <c r="V125" s="164"/>
      <c r="W125" s="164"/>
      <c r="X125" s="15"/>
    </row>
    <row r="126" spans="1:46" x14ac:dyDescent="0.35">
      <c r="A126" s="48" t="s">
        <v>105</v>
      </c>
      <c r="B126" s="149"/>
      <c r="C126" s="49"/>
      <c r="D126" s="165"/>
      <c r="E126" s="165"/>
      <c r="F126" s="165"/>
      <c r="G126" s="165"/>
      <c r="H126" s="165"/>
      <c r="I126" s="165"/>
      <c r="J126" s="165"/>
      <c r="K126" s="165"/>
      <c r="L126" s="165"/>
      <c r="M126" s="165"/>
      <c r="N126" s="165"/>
      <c r="O126" s="165"/>
      <c r="P126" s="165"/>
      <c r="Q126" s="165"/>
      <c r="R126" s="165"/>
      <c r="S126" s="165"/>
      <c r="T126" s="165"/>
      <c r="U126" s="165"/>
      <c r="V126" s="165"/>
      <c r="W126" s="165"/>
      <c r="X126" s="166"/>
      <c r="Y126" s="49"/>
      <c r="Z126" s="49"/>
      <c r="AA126" s="49"/>
      <c r="AB126" s="49"/>
      <c r="AC126" s="49"/>
      <c r="AD126" s="49"/>
      <c r="AE126" s="49"/>
      <c r="AF126" s="49"/>
      <c r="AG126" s="49"/>
      <c r="AH126" s="49"/>
      <c r="AI126" s="49"/>
      <c r="AJ126" s="49"/>
      <c r="AK126" s="49"/>
      <c r="AL126" s="49"/>
      <c r="AM126" s="49"/>
      <c r="AN126" s="49"/>
      <c r="AO126" s="49"/>
      <c r="AP126" s="49"/>
      <c r="AQ126" s="49"/>
      <c r="AR126" s="49"/>
      <c r="AS126" s="49"/>
    </row>
    <row r="127" spans="1:46" x14ac:dyDescent="0.35">
      <c r="B127" s="18"/>
      <c r="D127" s="164"/>
      <c r="E127" s="164"/>
      <c r="F127" s="164"/>
      <c r="G127" s="164"/>
      <c r="H127" s="164"/>
      <c r="I127" s="164"/>
      <c r="J127" s="164"/>
      <c r="K127" s="164"/>
      <c r="L127" s="164"/>
      <c r="M127" s="164"/>
      <c r="N127" s="164"/>
      <c r="O127" s="164"/>
      <c r="P127" s="164"/>
      <c r="Q127" s="164"/>
      <c r="R127" s="164"/>
      <c r="S127" s="164"/>
      <c r="T127" s="164"/>
      <c r="U127" s="164"/>
      <c r="V127" s="164"/>
      <c r="W127" s="164"/>
      <c r="X127" s="15"/>
    </row>
    <row r="128" spans="1:46" x14ac:dyDescent="0.35">
      <c r="A128" s="12" t="s">
        <v>106</v>
      </c>
      <c r="B128" s="18"/>
      <c r="D128" s="48" t="s">
        <v>97</v>
      </c>
      <c r="E128" s="49"/>
      <c r="F128" s="49"/>
      <c r="G128" s="49"/>
      <c r="H128" s="49"/>
      <c r="I128" s="49"/>
      <c r="J128" s="49"/>
      <c r="K128" s="49"/>
      <c r="L128" s="49"/>
      <c r="M128" s="49"/>
      <c r="N128" s="49"/>
      <c r="O128" s="49"/>
      <c r="P128" s="49"/>
      <c r="Q128" s="49"/>
      <c r="R128" s="49"/>
      <c r="S128" s="49"/>
      <c r="T128" s="49"/>
      <c r="U128" s="49"/>
      <c r="V128" s="49"/>
      <c r="W128" s="49"/>
      <c r="X128" s="15"/>
      <c r="Z128" s="48" t="s">
        <v>87</v>
      </c>
      <c r="AA128" s="49"/>
      <c r="AB128" s="49"/>
      <c r="AC128" s="49"/>
      <c r="AD128" s="49"/>
      <c r="AE128" s="49"/>
      <c r="AF128" s="49"/>
      <c r="AG128" s="49"/>
      <c r="AH128" s="49"/>
      <c r="AI128" s="49"/>
      <c r="AJ128" s="49"/>
      <c r="AK128" s="49"/>
      <c r="AL128" s="49"/>
      <c r="AM128" s="49"/>
      <c r="AN128" s="49"/>
      <c r="AO128" s="49"/>
      <c r="AP128" s="49"/>
      <c r="AQ128" s="49"/>
      <c r="AR128" s="49"/>
      <c r="AS128" s="49"/>
    </row>
    <row r="129" spans="1:46" x14ac:dyDescent="0.35">
      <c r="B129" s="18"/>
      <c r="D129" s="52" cm="1">
        <f t="array" ref="D129:W129">years</f>
        <v>2018</v>
      </c>
      <c r="E129" s="52">
        <v>2019</v>
      </c>
      <c r="F129" s="52">
        <v>2020</v>
      </c>
      <c r="G129" s="52">
        <v>2021</v>
      </c>
      <c r="H129" s="52">
        <v>2022</v>
      </c>
      <c r="I129" s="52">
        <v>2023</v>
      </c>
      <c r="J129" s="52">
        <v>2024</v>
      </c>
      <c r="K129" s="52">
        <v>2025</v>
      </c>
      <c r="L129" s="52">
        <v>2026</v>
      </c>
      <c r="M129" s="52">
        <v>2027</v>
      </c>
      <c r="N129" s="52">
        <v>2028</v>
      </c>
      <c r="O129" s="52">
        <v>2029</v>
      </c>
      <c r="P129" s="52">
        <v>2030</v>
      </c>
      <c r="Q129" s="52">
        <v>2031</v>
      </c>
      <c r="R129" s="52">
        <v>2032</v>
      </c>
      <c r="S129" s="52">
        <v>2033</v>
      </c>
      <c r="T129" s="52">
        <v>2034</v>
      </c>
      <c r="U129" s="52">
        <v>2035</v>
      </c>
      <c r="V129" s="52">
        <v>2036</v>
      </c>
      <c r="W129" s="52">
        <v>2037</v>
      </c>
      <c r="X129" s="15"/>
      <c r="Z129" s="52" cm="1">
        <f t="array" ref="Z129:AS129">years</f>
        <v>2018</v>
      </c>
      <c r="AA129" s="52">
        <v>2019</v>
      </c>
      <c r="AB129" s="52">
        <v>2020</v>
      </c>
      <c r="AC129" s="52">
        <v>2021</v>
      </c>
      <c r="AD129" s="52">
        <v>2022</v>
      </c>
      <c r="AE129" s="52">
        <v>2023</v>
      </c>
      <c r="AF129" s="52">
        <v>2024</v>
      </c>
      <c r="AG129" s="52">
        <v>2025</v>
      </c>
      <c r="AH129" s="52">
        <v>2026</v>
      </c>
      <c r="AI129" s="52">
        <v>2027</v>
      </c>
      <c r="AJ129" s="52">
        <v>2028</v>
      </c>
      <c r="AK129" s="52">
        <v>2029</v>
      </c>
      <c r="AL129" s="52">
        <v>2030</v>
      </c>
      <c r="AM129" s="52">
        <v>2031</v>
      </c>
      <c r="AN129" s="52">
        <v>2032</v>
      </c>
      <c r="AO129" s="52">
        <v>2033</v>
      </c>
      <c r="AP129" s="52">
        <v>2034</v>
      </c>
      <c r="AQ129" s="52">
        <v>2035</v>
      </c>
      <c r="AR129" s="52">
        <v>2036</v>
      </c>
      <c r="AS129" s="52">
        <v>2037</v>
      </c>
    </row>
    <row r="130" spans="1:46" x14ac:dyDescent="0.35">
      <c r="A130" s="12" t="str" cm="1">
        <f t="array" ref="A130:A136">fixed_services</f>
        <v>On-net fixed to fixed traffic</v>
      </c>
      <c r="B130" s="18"/>
      <c r="D130" s="26" cm="1">
        <f t="array" ref="D130:W136">fixed_calls_service/(1-unsuccessful_calls_perc)</f>
        <v>126536.22133088158</v>
      </c>
      <c r="E130" s="26">
        <v>106434.4063195109</v>
      </c>
      <c r="F130" s="26">
        <v>92506.782732168504</v>
      </c>
      <c r="G130" s="26">
        <v>81919.179317329035</v>
      </c>
      <c r="H130" s="26">
        <v>74093.535189074551</v>
      </c>
      <c r="I130" s="26">
        <v>67015.465762281092</v>
      </c>
      <c r="J130" s="26">
        <v>60613.556093321611</v>
      </c>
      <c r="K130" s="26">
        <v>54823.213425252608</v>
      </c>
      <c r="L130" s="26">
        <v>49586.015472237785</v>
      </c>
      <c r="M130" s="26">
        <v>44849.120961604327</v>
      </c>
      <c r="N130" s="26">
        <v>40564.736486132548</v>
      </c>
      <c r="O130" s="26">
        <v>36689.634287327412</v>
      </c>
      <c r="P130" s="26">
        <v>33184.716104294654</v>
      </c>
      <c r="Q130" s="26">
        <v>30014.618687627415</v>
      </c>
      <c r="R130" s="26">
        <v>27147.356998093597</v>
      </c>
      <c r="S130" s="26">
        <v>24554.001490138464</v>
      </c>
      <c r="T130" s="26">
        <v>22208.38622411972</v>
      </c>
      <c r="U130" s="26">
        <v>20086.844862242018</v>
      </c>
      <c r="V130" s="26">
        <v>18167.97188449344</v>
      </c>
      <c r="W130" s="26">
        <v>16432.406615346474</v>
      </c>
      <c r="X130" s="15"/>
    </row>
    <row r="131" spans="1:46" x14ac:dyDescent="0.35">
      <c r="A131" s="12" t="str">
        <v>Incoming fixed to fixed traffic</v>
      </c>
      <c r="B131" s="18"/>
      <c r="D131" s="26">
        <v>84357.480887254394</v>
      </c>
      <c r="E131" s="26">
        <v>70956.270879673917</v>
      </c>
      <c r="F131" s="26">
        <v>61671.188488112333</v>
      </c>
      <c r="G131" s="26">
        <v>54612.78621155268</v>
      </c>
      <c r="H131" s="26">
        <v>49395.690126049703</v>
      </c>
      <c r="I131" s="26">
        <v>44676.977174854059</v>
      </c>
      <c r="J131" s="26">
        <v>40409.037395547733</v>
      </c>
      <c r="K131" s="26">
        <v>36548.808950168401</v>
      </c>
      <c r="L131" s="26">
        <v>33057.343648158523</v>
      </c>
      <c r="M131" s="26">
        <v>29899.413974402883</v>
      </c>
      <c r="N131" s="26">
        <v>27043.157657421696</v>
      </c>
      <c r="O131" s="26">
        <v>24459.756191551605</v>
      </c>
      <c r="P131" s="26">
        <v>22123.144069529764</v>
      </c>
      <c r="Q131" s="26">
        <v>20009.745791751604</v>
      </c>
      <c r="R131" s="26">
        <v>18098.237998729062</v>
      </c>
      <c r="S131" s="26">
        <v>16369.334326758972</v>
      </c>
      <c r="T131" s="26">
        <v>14805.59081607981</v>
      </c>
      <c r="U131" s="26">
        <v>13391.229908161342</v>
      </c>
      <c r="V131" s="26">
        <v>12111.981256328958</v>
      </c>
      <c r="W131" s="26">
        <v>10954.937743564315</v>
      </c>
      <c r="X131" s="15"/>
    </row>
    <row r="132" spans="1:46" x14ac:dyDescent="0.35">
      <c r="A132" s="12" t="str">
        <v>Off-net fixed to fixed traffic</v>
      </c>
      <c r="B132" s="18"/>
      <c r="D132" s="26">
        <v>84357.480887254394</v>
      </c>
      <c r="E132" s="26">
        <v>70956.270879673917</v>
      </c>
      <c r="F132" s="26">
        <v>61671.188488112333</v>
      </c>
      <c r="G132" s="26">
        <v>54612.78621155268</v>
      </c>
      <c r="H132" s="26">
        <v>49395.690126049703</v>
      </c>
      <c r="I132" s="26">
        <v>44676.977174854059</v>
      </c>
      <c r="J132" s="26">
        <v>40409.037395547733</v>
      </c>
      <c r="K132" s="26">
        <v>36548.808950168401</v>
      </c>
      <c r="L132" s="26">
        <v>33057.343648158523</v>
      </c>
      <c r="M132" s="26">
        <v>29899.413974402883</v>
      </c>
      <c r="N132" s="26">
        <v>27043.157657421696</v>
      </c>
      <c r="O132" s="26">
        <v>24459.756191551605</v>
      </c>
      <c r="P132" s="26">
        <v>22123.144069529764</v>
      </c>
      <c r="Q132" s="26">
        <v>20009.745791751604</v>
      </c>
      <c r="R132" s="26">
        <v>18098.237998729062</v>
      </c>
      <c r="S132" s="26">
        <v>16369.334326758972</v>
      </c>
      <c r="T132" s="26">
        <v>14805.59081607981</v>
      </c>
      <c r="U132" s="26">
        <v>13391.229908161342</v>
      </c>
      <c r="V132" s="26">
        <v>12111.981256328958</v>
      </c>
      <c r="W132" s="26">
        <v>10954.937743564315</v>
      </c>
      <c r="X132" s="15"/>
    </row>
    <row r="133" spans="1:46" x14ac:dyDescent="0.35">
      <c r="A133" s="12" t="str">
        <v>Fixed to Mobile Telephone traffic</v>
      </c>
      <c r="D133" s="26">
        <v>282912.38783474005</v>
      </c>
      <c r="E133" s="26">
        <v>206630.35665629219</v>
      </c>
      <c r="F133" s="26">
        <v>223173.09619398677</v>
      </c>
      <c r="G133" s="26">
        <v>209332.2471296908</v>
      </c>
      <c r="H133" s="26">
        <v>189334.98050353152</v>
      </c>
      <c r="I133" s="26">
        <v>171248.02955018857</v>
      </c>
      <c r="J133" s="26">
        <v>154888.90403046922</v>
      </c>
      <c r="K133" s="26">
        <v>140092.54678594045</v>
      </c>
      <c r="L133" s="26">
        <v>126709.66837695597</v>
      </c>
      <c r="M133" s="26">
        <v>114605.2408107799</v>
      </c>
      <c r="N133" s="26">
        <v>103657.13516211468</v>
      </c>
      <c r="O133" s="26">
        <v>93754.889340158697</v>
      </c>
      <c r="P133" s="26">
        <v>84798.593569447068</v>
      </c>
      <c r="Q133" s="26">
        <v>76697.882339413991</v>
      </c>
      <c r="R133" s="26">
        <v>69371.02265184361</v>
      </c>
      <c r="S133" s="26">
        <v>62744.089366983782</v>
      </c>
      <c r="T133" s="26">
        <v>56750.21932788851</v>
      </c>
      <c r="U133" s="26">
        <v>51328.93673739631</v>
      </c>
      <c r="V133" s="26">
        <v>46425.54298106287</v>
      </c>
      <c r="W133" s="26">
        <v>41990.564739600843</v>
      </c>
    </row>
    <row r="134" spans="1:46" x14ac:dyDescent="0.35">
      <c r="A134" s="12" t="str">
        <v>Outgoing mobile traffic to fixed networks</v>
      </c>
      <c r="D134" s="26">
        <v>82211.392002623834</v>
      </c>
      <c r="E134" s="26">
        <v>85569.823102754686</v>
      </c>
      <c r="F134" s="26">
        <v>102322.0303642162</v>
      </c>
      <c r="G134" s="26">
        <v>95327.267369570502</v>
      </c>
      <c r="H134" s="26">
        <v>86220.764150544506</v>
      </c>
      <c r="I134" s="26">
        <v>77984.194615410117</v>
      </c>
      <c r="J134" s="26">
        <v>70534.455008953359</v>
      </c>
      <c r="K134" s="26">
        <v>63796.380381249161</v>
      </c>
      <c r="L134" s="26">
        <v>57701.986202805514</v>
      </c>
      <c r="M134" s="26">
        <v>52189.782427332822</v>
      </c>
      <c r="N134" s="26">
        <v>47204.153081300785</v>
      </c>
      <c r="O134" s="26">
        <v>42694.795120584931</v>
      </c>
      <c r="P134" s="26">
        <v>38616.210892486408</v>
      </c>
      <c r="Q134" s="26">
        <v>34927.249082266018</v>
      </c>
      <c r="R134" s="26">
        <v>31590.689512523146</v>
      </c>
      <c r="S134" s="26">
        <v>28572.867606208081</v>
      </c>
      <c r="T134" s="26">
        <v>25843.334724247012</v>
      </c>
      <c r="U134" s="26">
        <v>23374.550950719422</v>
      </c>
      <c r="V134" s="26">
        <v>21141.607225911041</v>
      </c>
      <c r="W134" s="26">
        <v>19121.974023673687</v>
      </c>
      <c r="X134" s="139"/>
      <c r="Z134" s="139"/>
      <c r="AA134" s="139"/>
      <c r="AB134" s="139"/>
      <c r="AC134" s="139"/>
      <c r="AD134" s="139"/>
      <c r="AE134" s="139"/>
      <c r="AF134" s="139"/>
      <c r="AG134" s="139"/>
      <c r="AH134" s="139"/>
      <c r="AI134" s="139"/>
    </row>
    <row r="135" spans="1:46" x14ac:dyDescent="0.35">
      <c r="A135" s="12" t="str">
        <v xml:space="preserve">International incoming fixed telephone traffic </v>
      </c>
      <c r="D135" s="26">
        <v>12531.55420915498</v>
      </c>
      <c r="E135" s="26">
        <v>5491.9449738155454</v>
      </c>
      <c r="F135" s="26">
        <v>3584.0518075713721</v>
      </c>
      <c r="G135" s="26">
        <v>1567.6592236798199</v>
      </c>
      <c r="H135" s="26">
        <v>1417.9025574005864</v>
      </c>
      <c r="I135" s="26">
        <v>1282.4519716497634</v>
      </c>
      <c r="J135" s="26">
        <v>1159.9408231575037</v>
      </c>
      <c r="K135" s="26">
        <v>1049.1330224994592</v>
      </c>
      <c r="L135" s="26">
        <v>948.91056243943763</v>
      </c>
      <c r="M135" s="26">
        <v>858.26223767500733</v>
      </c>
      <c r="N135" s="26">
        <v>776.27344217271673</v>
      </c>
      <c r="O135" s="26">
        <v>702.11694115203625</v>
      </c>
      <c r="P135" s="26">
        <v>635.04452461096719</v>
      </c>
      <c r="Q135" s="26">
        <v>574.37945818066044</v>
      </c>
      <c r="R135" s="26">
        <v>519.5096551411342</v>
      </c>
      <c r="S135" s="26">
        <v>469.88150070640444</v>
      </c>
      <c r="T135" s="26">
        <v>424.99426626849032</v>
      </c>
      <c r="U135" s="26">
        <v>384.39505724220692</v>
      </c>
      <c r="V135" s="26">
        <v>347.67424353648187</v>
      </c>
      <c r="W135" s="26">
        <v>314.46132654744366</v>
      </c>
    </row>
    <row r="136" spans="1:46" x14ac:dyDescent="0.35">
      <c r="A136" s="12" t="str">
        <v>International outgoing fixed telephone traffic</v>
      </c>
      <c r="D136" s="26">
        <v>12381.036191396737</v>
      </c>
      <c r="E136" s="26">
        <v>2772.6092780494805</v>
      </c>
      <c r="F136" s="26">
        <v>2835.126535506095</v>
      </c>
      <c r="G136" s="26">
        <v>2255.6373777767526</v>
      </c>
      <c r="H136" s="26">
        <v>2040.1589568749464</v>
      </c>
      <c r="I136" s="26">
        <v>1845.2649394467605</v>
      </c>
      <c r="J136" s="26">
        <v>1668.9889213177471</v>
      </c>
      <c r="K136" s="26">
        <v>1509.5523466221177</v>
      </c>
      <c r="L136" s="26">
        <v>1365.3465628718257</v>
      </c>
      <c r="M136" s="26">
        <v>1234.9165902840741</v>
      </c>
      <c r="N136" s="26">
        <v>1116.9464416061285</v>
      </c>
      <c r="O136" s="26">
        <v>1010.2458443202285</v>
      </c>
      <c r="P136" s="26">
        <v>913.73823126085665</v>
      </c>
      <c r="Q136" s="26">
        <v>826.44987847439836</v>
      </c>
      <c r="R136" s="26">
        <v>747.50008072646506</v>
      </c>
      <c r="S136" s="26">
        <v>676.09226553160033</v>
      </c>
      <c r="T136" s="26">
        <v>611.50595604941509</v>
      </c>
      <c r="U136" s="26">
        <v>553.08950175592781</v>
      </c>
      <c r="V136" s="26">
        <v>500.25350354543457</v>
      </c>
      <c r="W136" s="26">
        <v>452.46486692476805</v>
      </c>
    </row>
    <row r="137" spans="1:46" x14ac:dyDescent="0.35">
      <c r="D137" s="75"/>
      <c r="E137" s="75"/>
      <c r="F137" s="75"/>
      <c r="G137" s="75"/>
      <c r="H137" s="75"/>
      <c r="I137" s="75"/>
      <c r="J137" s="75"/>
      <c r="K137" s="75"/>
      <c r="L137" s="75"/>
      <c r="M137" s="75"/>
      <c r="N137" s="75"/>
      <c r="O137" s="75"/>
      <c r="P137" s="75"/>
      <c r="Q137" s="75"/>
      <c r="R137" s="75"/>
      <c r="S137" s="75"/>
      <c r="T137" s="75"/>
      <c r="U137" s="75"/>
      <c r="V137" s="75"/>
      <c r="W137" s="75"/>
    </row>
    <row r="138" spans="1:46" x14ac:dyDescent="0.35">
      <c r="A138" s="12" t="s">
        <v>99</v>
      </c>
      <c r="D138" s="4">
        <f>SUM(D130:D136)</f>
        <v>685287.55334330606</v>
      </c>
      <c r="E138" s="4">
        <f t="shared" ref="E138:W138" si="16">SUM(E130:E136)</f>
        <v>548811.68208977068</v>
      </c>
      <c r="F138" s="4">
        <f t="shared" si="16"/>
        <v>547763.4646096736</v>
      </c>
      <c r="G138" s="4">
        <f t="shared" si="16"/>
        <v>499627.56284115219</v>
      </c>
      <c r="H138" s="4">
        <f t="shared" si="16"/>
        <v>451898.7216095255</v>
      </c>
      <c r="I138" s="4">
        <f t="shared" si="16"/>
        <v>408729.36118868442</v>
      </c>
      <c r="J138" s="4">
        <f t="shared" si="16"/>
        <v>369683.91966831486</v>
      </c>
      <c r="K138" s="4">
        <f t="shared" si="16"/>
        <v>334368.4438619006</v>
      </c>
      <c r="L138" s="4">
        <f t="shared" si="16"/>
        <v>302426.61447362759</v>
      </c>
      <c r="M138" s="4">
        <f t="shared" si="16"/>
        <v>273536.15097648191</v>
      </c>
      <c r="N138" s="4">
        <f t="shared" si="16"/>
        <v>247405.55992817023</v>
      </c>
      <c r="O138" s="4">
        <f t="shared" si="16"/>
        <v>223771.1939166465</v>
      </c>
      <c r="P138" s="4">
        <f t="shared" si="16"/>
        <v>202394.59146115949</v>
      </c>
      <c r="Q138" s="4">
        <f t="shared" si="16"/>
        <v>183060.07102946567</v>
      </c>
      <c r="R138" s="4">
        <f t="shared" si="16"/>
        <v>165572.55489578607</v>
      </c>
      <c r="S138" s="4">
        <f t="shared" si="16"/>
        <v>149755.60088308627</v>
      </c>
      <c r="T138" s="4">
        <f t="shared" si="16"/>
        <v>135449.62213073278</v>
      </c>
      <c r="U138" s="4">
        <f t="shared" si="16"/>
        <v>122510.27692567855</v>
      </c>
      <c r="V138" s="4">
        <f t="shared" si="16"/>
        <v>110807.01235120719</v>
      </c>
      <c r="W138" s="4">
        <f t="shared" si="16"/>
        <v>100221.74705922185</v>
      </c>
      <c r="X138" s="15" t="s">
        <v>107</v>
      </c>
      <c r="Z138" s="171" cm="1">
        <f t="array" ref="Z138:AS138">D138:W138-D131:W131-D134:W134-D135:W135</f>
        <v>506187.12624427292</v>
      </c>
      <c r="AA138" s="171">
        <v>386793.64313352661</v>
      </c>
      <c r="AB138" s="171">
        <v>380186.19394977367</v>
      </c>
      <c r="AC138" s="171">
        <v>348119.85003634921</v>
      </c>
      <c r="AD138" s="171">
        <v>314864.3647755307</v>
      </c>
      <c r="AE138" s="171">
        <v>284785.73742677044</v>
      </c>
      <c r="AF138" s="171">
        <v>257580.4864406563</v>
      </c>
      <c r="AG138" s="171">
        <v>232974.12150798357</v>
      </c>
      <c r="AH138" s="171">
        <v>210718.3740602241</v>
      </c>
      <c r="AI138" s="171">
        <v>190588.6923370712</v>
      </c>
      <c r="AJ138" s="171">
        <v>172381.97574727505</v>
      </c>
      <c r="AK138" s="171">
        <v>155914.52566335796</v>
      </c>
      <c r="AL138" s="171">
        <v>141020.19197453235</v>
      </c>
      <c r="AM138" s="171">
        <v>127548.6966972674</v>
      </c>
      <c r="AN138" s="171">
        <v>115364.1177293927</v>
      </c>
      <c r="AO138" s="171">
        <v>104343.5174494128</v>
      </c>
      <c r="AP138" s="171">
        <v>94375.702324137455</v>
      </c>
      <c r="AQ138" s="171">
        <v>85360.101009555583</v>
      </c>
      <c r="AR138" s="171">
        <v>77205.749625430704</v>
      </c>
      <c r="AS138" s="171">
        <v>69830.373965436404</v>
      </c>
      <c r="AT138" s="15" t="s">
        <v>108</v>
      </c>
    </row>
    <row r="141" spans="1:46" x14ac:dyDescent="0.35">
      <c r="A141" s="48" t="s">
        <v>437</v>
      </c>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row>
    <row r="142" spans="1:46" x14ac:dyDescent="0.35">
      <c r="A142" s="2"/>
    </row>
    <row r="143" spans="1:46" x14ac:dyDescent="0.35">
      <c r="A143" s="12" t="s">
        <v>109</v>
      </c>
      <c r="D143" s="48" t="s">
        <v>97</v>
      </c>
      <c r="E143" s="49"/>
      <c r="F143" s="49"/>
      <c r="G143" s="49"/>
      <c r="H143" s="49"/>
      <c r="I143" s="49"/>
      <c r="J143" s="49"/>
      <c r="K143" s="49"/>
      <c r="L143" s="49"/>
      <c r="M143" s="49"/>
      <c r="N143" s="49"/>
      <c r="O143" s="49"/>
      <c r="P143" s="49"/>
      <c r="Q143" s="49"/>
      <c r="R143" s="49"/>
      <c r="S143" s="49"/>
      <c r="T143" s="49"/>
      <c r="U143" s="49"/>
      <c r="V143" s="49"/>
      <c r="W143" s="49"/>
      <c r="Z143" s="48" t="s">
        <v>87</v>
      </c>
      <c r="AA143" s="49"/>
      <c r="AB143" s="49"/>
      <c r="AC143" s="49"/>
      <c r="AD143" s="49"/>
      <c r="AE143" s="49"/>
      <c r="AF143" s="49"/>
      <c r="AG143" s="49"/>
      <c r="AH143" s="49"/>
      <c r="AI143" s="49"/>
      <c r="AJ143" s="49"/>
      <c r="AK143" s="49"/>
      <c r="AL143" s="49"/>
      <c r="AM143" s="49"/>
      <c r="AN143" s="49"/>
      <c r="AO143" s="49"/>
      <c r="AP143" s="49"/>
      <c r="AQ143" s="49"/>
      <c r="AR143" s="49"/>
      <c r="AS143" s="49"/>
    </row>
    <row r="144" spans="1:46" x14ac:dyDescent="0.35">
      <c r="D144" s="52" cm="1">
        <f t="array" ref="D144:W144">years</f>
        <v>2018</v>
      </c>
      <c r="E144" s="52">
        <v>2019</v>
      </c>
      <c r="F144" s="52">
        <v>2020</v>
      </c>
      <c r="G144" s="52">
        <v>2021</v>
      </c>
      <c r="H144" s="52">
        <v>2022</v>
      </c>
      <c r="I144" s="52">
        <v>2023</v>
      </c>
      <c r="J144" s="52">
        <v>2024</v>
      </c>
      <c r="K144" s="52">
        <v>2025</v>
      </c>
      <c r="L144" s="52">
        <v>2026</v>
      </c>
      <c r="M144" s="52">
        <v>2027</v>
      </c>
      <c r="N144" s="52">
        <v>2028</v>
      </c>
      <c r="O144" s="52">
        <v>2029</v>
      </c>
      <c r="P144" s="52">
        <v>2030</v>
      </c>
      <c r="Q144" s="52">
        <v>2031</v>
      </c>
      <c r="R144" s="52">
        <v>2032</v>
      </c>
      <c r="S144" s="52">
        <v>2033</v>
      </c>
      <c r="T144" s="52">
        <v>2034</v>
      </c>
      <c r="U144" s="52">
        <v>2035</v>
      </c>
      <c r="V144" s="52">
        <v>2036</v>
      </c>
      <c r="W144" s="52">
        <v>2037</v>
      </c>
      <c r="Z144" s="52" cm="1">
        <f t="array" ref="Z144:AS144">years</f>
        <v>2018</v>
      </c>
      <c r="AA144" s="52">
        <v>2019</v>
      </c>
      <c r="AB144" s="52">
        <v>2020</v>
      </c>
      <c r="AC144" s="52">
        <v>2021</v>
      </c>
      <c r="AD144" s="52">
        <v>2022</v>
      </c>
      <c r="AE144" s="52">
        <v>2023</v>
      </c>
      <c r="AF144" s="52">
        <v>2024</v>
      </c>
      <c r="AG144" s="52">
        <v>2025</v>
      </c>
      <c r="AH144" s="52">
        <v>2026</v>
      </c>
      <c r="AI144" s="52">
        <v>2027</v>
      </c>
      <c r="AJ144" s="52">
        <v>2028</v>
      </c>
      <c r="AK144" s="52">
        <v>2029</v>
      </c>
      <c r="AL144" s="52">
        <v>2030</v>
      </c>
      <c r="AM144" s="52">
        <v>2031</v>
      </c>
      <c r="AN144" s="52">
        <v>2032</v>
      </c>
      <c r="AO144" s="52">
        <v>2033</v>
      </c>
      <c r="AP144" s="52">
        <v>2034</v>
      </c>
      <c r="AQ144" s="52">
        <v>2035</v>
      </c>
      <c r="AR144" s="52">
        <v>2036</v>
      </c>
      <c r="AS144" s="52">
        <v>2037</v>
      </c>
    </row>
    <row r="145" spans="1:46" x14ac:dyDescent="0.35">
      <c r="A145" s="12" t="str" cm="1">
        <f t="array" ref="A145:A151">fixed_services</f>
        <v>On-net fixed to fixed traffic</v>
      </c>
      <c r="D145" s="26" cm="1">
        <f t="array" ref="D145:W151">fixed_minutes_busy_hour/sec_minute/non_homo_fixed</f>
        <v>8862.6122238612425</v>
      </c>
      <c r="E145" s="26">
        <v>7454.678672758022</v>
      </c>
      <c r="F145" s="26">
        <v>6479.186234654102</v>
      </c>
      <c r="G145" s="26">
        <v>5737.6292128082869</v>
      </c>
      <c r="H145" s="26">
        <v>5189.5201529581691</v>
      </c>
      <c r="I145" s="26">
        <v>4693.7713154833709</v>
      </c>
      <c r="J145" s="26">
        <v>4245.3807891074357</v>
      </c>
      <c r="K145" s="26">
        <v>3839.8244893331398</v>
      </c>
      <c r="L145" s="26">
        <v>3473.010512204818</v>
      </c>
      <c r="M145" s="26">
        <v>3141.2378486027987</v>
      </c>
      <c r="N145" s="26">
        <v>2841.1590425133786</v>
      </c>
      <c r="O145" s="26">
        <v>2569.7464165109277</v>
      </c>
      <c r="P145" s="26">
        <v>2324.2615236804922</v>
      </c>
      <c r="Q145" s="26">
        <v>2102.2275177627789</v>
      </c>
      <c r="R145" s="26">
        <v>1901.4041627471213</v>
      </c>
      <c r="S145" s="26">
        <v>1719.7652297690292</v>
      </c>
      <c r="T145" s="26">
        <v>1555.4780532558818</v>
      </c>
      <c r="U145" s="26">
        <v>1406.8850400502963</v>
      </c>
      <c r="V145" s="26">
        <v>1272.4869449454825</v>
      </c>
      <c r="W145" s="26">
        <v>1150.927743889295</v>
      </c>
    </row>
    <row r="146" spans="1:46" x14ac:dyDescent="0.35">
      <c r="A146" s="12" t="str">
        <v>Incoming fixed to fixed traffic</v>
      </c>
      <c r="D146" s="26">
        <v>5908.4081492408286</v>
      </c>
      <c r="E146" s="26">
        <v>4969.785781838681</v>
      </c>
      <c r="F146" s="26">
        <v>4319.457489769401</v>
      </c>
      <c r="G146" s="26">
        <v>3825.0861418721915</v>
      </c>
      <c r="H146" s="26">
        <v>3459.680101972112</v>
      </c>
      <c r="I146" s="26">
        <v>3129.1808769889135</v>
      </c>
      <c r="J146" s="26">
        <v>2830.253859404957</v>
      </c>
      <c r="K146" s="26">
        <v>2559.8829928887599</v>
      </c>
      <c r="L146" s="26">
        <v>2315.3403414698782</v>
      </c>
      <c r="M146" s="26">
        <v>2094.1585657351989</v>
      </c>
      <c r="N146" s="26">
        <v>1894.1060283422521</v>
      </c>
      <c r="O146" s="26">
        <v>1713.1642776739511</v>
      </c>
      <c r="P146" s="26">
        <v>1549.5076824536611</v>
      </c>
      <c r="Q146" s="26">
        <v>1401.4850118418522</v>
      </c>
      <c r="R146" s="26">
        <v>1267.6027751647473</v>
      </c>
      <c r="S146" s="26">
        <v>1146.5101531793525</v>
      </c>
      <c r="T146" s="26">
        <v>1036.9853688372541</v>
      </c>
      <c r="U146" s="26">
        <v>937.92336003353068</v>
      </c>
      <c r="V146" s="26">
        <v>848.32462996365507</v>
      </c>
      <c r="W146" s="26">
        <v>767.28516259286312</v>
      </c>
    </row>
    <row r="147" spans="1:46" x14ac:dyDescent="0.35">
      <c r="A147" s="12" t="str">
        <v>Off-net fixed to fixed traffic</v>
      </c>
      <c r="D147" s="26">
        <v>5908.4081492408286</v>
      </c>
      <c r="E147" s="26">
        <v>4969.785781838681</v>
      </c>
      <c r="F147" s="26">
        <v>4319.457489769401</v>
      </c>
      <c r="G147" s="26">
        <v>3825.0861418721915</v>
      </c>
      <c r="H147" s="26">
        <v>3459.680101972112</v>
      </c>
      <c r="I147" s="26">
        <v>3129.1808769889135</v>
      </c>
      <c r="J147" s="26">
        <v>2830.253859404957</v>
      </c>
      <c r="K147" s="26">
        <v>2559.8829928887599</v>
      </c>
      <c r="L147" s="26">
        <v>2315.3403414698782</v>
      </c>
      <c r="M147" s="26">
        <v>2094.1585657351989</v>
      </c>
      <c r="N147" s="26">
        <v>1894.1060283422521</v>
      </c>
      <c r="O147" s="26">
        <v>1713.1642776739511</v>
      </c>
      <c r="P147" s="26">
        <v>1549.5076824536611</v>
      </c>
      <c r="Q147" s="26">
        <v>1401.4850118418522</v>
      </c>
      <c r="R147" s="26">
        <v>1267.6027751647473</v>
      </c>
      <c r="S147" s="26">
        <v>1146.5101531793525</v>
      </c>
      <c r="T147" s="26">
        <v>1036.9853688372541</v>
      </c>
      <c r="U147" s="26">
        <v>937.92336003353068</v>
      </c>
      <c r="V147" s="26">
        <v>848.32462996365507</v>
      </c>
      <c r="W147" s="26">
        <v>767.28516259286312</v>
      </c>
    </row>
    <row r="148" spans="1:46" x14ac:dyDescent="0.35">
      <c r="A148" s="12" t="str">
        <v>Fixed to Mobile Telephone traffic</v>
      </c>
      <c r="D148" s="26">
        <v>19815.217811423725</v>
      </c>
      <c r="E148" s="26">
        <v>14472.415135064035</v>
      </c>
      <c r="F148" s="26">
        <v>15631.070610159557</v>
      </c>
      <c r="G148" s="26">
        <v>14661.655870129614</v>
      </c>
      <c r="H148" s="26">
        <v>13261.044900552964</v>
      </c>
      <c r="I148" s="26">
        <v>11994.232671410202</v>
      </c>
      <c r="J148" s="26">
        <v>10848.43754430883</v>
      </c>
      <c r="K148" s="26">
        <v>9812.0988959381539</v>
      </c>
      <c r="L148" s="26">
        <v>8874.7604759155838</v>
      </c>
      <c r="M148" s="26">
        <v>8026.9649073225009</v>
      </c>
      <c r="N148" s="26">
        <v>7260.1582654814856</v>
      </c>
      <c r="O148" s="26">
        <v>6566.6037722122292</v>
      </c>
      <c r="P148" s="26">
        <v>5939.3037347750151</v>
      </c>
      <c r="Q148" s="26">
        <v>5371.9289418963235</v>
      </c>
      <c r="R148" s="26">
        <v>4858.7548045101785</v>
      </c>
      <c r="S148" s="26">
        <v>4394.6035969003642</v>
      </c>
      <c r="T148" s="26">
        <v>3974.7922154792795</v>
      </c>
      <c r="U148" s="26">
        <v>3595.0849281100432</v>
      </c>
      <c r="V148" s="26">
        <v>3251.6506372309946</v>
      </c>
      <c r="W148" s="26">
        <v>2941.0242255843286</v>
      </c>
    </row>
    <row r="149" spans="1:46" x14ac:dyDescent="0.35">
      <c r="A149" s="12" t="str">
        <v>Outgoing mobile traffic to fixed networks</v>
      </c>
      <c r="D149" s="26">
        <v>5758.0958245770153</v>
      </c>
      <c r="E149" s="26">
        <v>5993.3207444296786</v>
      </c>
      <c r="F149" s="26">
        <v>7166.6473641953644</v>
      </c>
      <c r="G149" s="26">
        <v>6676.7333192891574</v>
      </c>
      <c r="H149" s="26">
        <v>6038.9127340313717</v>
      </c>
      <c r="I149" s="26">
        <v>5462.0224090557049</v>
      </c>
      <c r="J149" s="26">
        <v>4940.241747310487</v>
      </c>
      <c r="K149" s="26">
        <v>4468.3061866252519</v>
      </c>
      <c r="L149" s="26">
        <v>4041.4540823438547</v>
      </c>
      <c r="M149" s="26">
        <v>3655.378664197985</v>
      </c>
      <c r="N149" s="26">
        <v>3306.1845826848116</v>
      </c>
      <c r="O149" s="26">
        <v>2990.3486065187303</v>
      </c>
      <c r="P149" s="26">
        <v>2704.6840746099374</v>
      </c>
      <c r="Q149" s="26">
        <v>2446.3087439042351</v>
      </c>
      <c r="R149" s="26">
        <v>2212.6157086813819</v>
      </c>
      <c r="S149" s="26">
        <v>2001.2470978991294</v>
      </c>
      <c r="T149" s="26">
        <v>1810.0702851994477</v>
      </c>
      <c r="U149" s="26">
        <v>1637.1563715452548</v>
      </c>
      <c r="V149" s="26">
        <v>1480.7607233858826</v>
      </c>
      <c r="W149" s="26">
        <v>1339.3053699890097</v>
      </c>
    </row>
    <row r="150" spans="1:46" x14ac:dyDescent="0.35">
      <c r="A150" s="12" t="str">
        <v xml:space="preserve">International incoming fixed telephone traffic </v>
      </c>
      <c r="D150" s="26">
        <v>877.71157025163677</v>
      </c>
      <c r="E150" s="26">
        <v>384.6564892311365</v>
      </c>
      <c r="F150" s="26">
        <v>251.02742145012911</v>
      </c>
      <c r="G150" s="26">
        <v>109.7990413535672</v>
      </c>
      <c r="H150" s="26">
        <v>99.310066361177959</v>
      </c>
      <c r="I150" s="26">
        <v>89.823090976751558</v>
      </c>
      <c r="J150" s="26">
        <v>81.242395340617549</v>
      </c>
      <c r="K150" s="26">
        <v>73.481403600211493</v>
      </c>
      <c r="L150" s="26">
        <v>66.461810393688125</v>
      </c>
      <c r="M150" s="26">
        <v>60.112790779541356</v>
      </c>
      <c r="N150" s="26">
        <v>54.370285640730771</v>
      </c>
      <c r="O150" s="26">
        <v>49.176355353322514</v>
      </c>
      <c r="P150" s="26">
        <v>44.478595198414858</v>
      </c>
      <c r="Q150" s="26">
        <v>40.229606619084052</v>
      </c>
      <c r="R150" s="26">
        <v>36.386518987540541</v>
      </c>
      <c r="S150" s="26">
        <v>32.910557057313639</v>
      </c>
      <c r="T150" s="26">
        <v>29.766649736227116</v>
      </c>
      <c r="U150" s="26">
        <v>26.923076232838302</v>
      </c>
      <c r="V150" s="26">
        <v>24.351146006097249</v>
      </c>
      <c r="W150" s="26">
        <v>22.024909289043482</v>
      </c>
    </row>
    <row r="151" spans="1:46" x14ac:dyDescent="0.35">
      <c r="A151" s="12" t="str">
        <v>International outgoing fixed telephone traffic</v>
      </c>
      <c r="D151" s="26">
        <v>867.16927010970892</v>
      </c>
      <c r="E151" s="26">
        <v>194.19388868407282</v>
      </c>
      <c r="F151" s="26">
        <v>198.57260494657629</v>
      </c>
      <c r="G151" s="26">
        <v>157.98511435400147</v>
      </c>
      <c r="H151" s="26">
        <v>142.89297973059624</v>
      </c>
      <c r="I151" s="26">
        <v>129.24257921247266</v>
      </c>
      <c r="J151" s="26">
        <v>116.89618561376874</v>
      </c>
      <c r="K151" s="26">
        <v>105.72922866684749</v>
      </c>
      <c r="L151" s="26">
        <v>95.629038157168367</v>
      </c>
      <c r="M151" s="26">
        <v>86.493707125025537</v>
      </c>
      <c r="N151" s="26">
        <v>78.23106366430504</v>
      </c>
      <c r="O151" s="26">
        <v>70.75774094411311</v>
      </c>
      <c r="P151" s="26">
        <v>63.998336070159304</v>
      </c>
      <c r="Q151" s="26">
        <v>57.884649299135283</v>
      </c>
      <c r="R151" s="26">
        <v>52.35499593006125</v>
      </c>
      <c r="S151" s="26">
        <v>47.353583929853357</v>
      </c>
      <c r="T151" s="26">
        <v>42.829951013598389</v>
      </c>
      <c r="U151" s="26">
        <v>38.738455499896496</v>
      </c>
      <c r="V151" s="26">
        <v>35.037815804202133</v>
      </c>
      <c r="W151" s="26">
        <v>31.690693923831756</v>
      </c>
      <c r="X151" s="15"/>
    </row>
    <row r="152" spans="1:46" x14ac:dyDescent="0.35">
      <c r="D152" s="75"/>
      <c r="E152" s="75"/>
      <c r="F152" s="75"/>
      <c r="G152" s="75"/>
      <c r="H152" s="75"/>
      <c r="I152" s="75"/>
      <c r="J152" s="75"/>
      <c r="K152" s="75"/>
      <c r="L152" s="75"/>
      <c r="M152" s="75"/>
      <c r="N152" s="75"/>
      <c r="O152" s="75"/>
      <c r="P152" s="75"/>
      <c r="Q152" s="75"/>
      <c r="R152" s="75"/>
      <c r="S152" s="75"/>
      <c r="T152" s="75"/>
      <c r="U152" s="75"/>
      <c r="V152" s="75"/>
      <c r="W152" s="75"/>
      <c r="X152" s="15"/>
    </row>
    <row r="153" spans="1:46" x14ac:dyDescent="0.35">
      <c r="A153" s="12" t="s">
        <v>110</v>
      </c>
      <c r="D153" s="10">
        <f>SUM(D145:D151)</f>
        <v>47997.622998704981</v>
      </c>
      <c r="E153" s="10">
        <f t="shared" ref="E153:W153" si="17">SUM(E145:E151)</f>
        <v>38438.836493844305</v>
      </c>
      <c r="F153" s="10">
        <f t="shared" si="17"/>
        <v>38365.419214944523</v>
      </c>
      <c r="G153" s="10">
        <f t="shared" si="17"/>
        <v>34993.97484167901</v>
      </c>
      <c r="H153" s="10">
        <f t="shared" si="17"/>
        <v>31651.041037578503</v>
      </c>
      <c r="I153" s="10">
        <f t="shared" si="17"/>
        <v>28627.45382011633</v>
      </c>
      <c r="J153" s="10">
        <f t="shared" si="17"/>
        <v>25892.70638049105</v>
      </c>
      <c r="K153" s="10">
        <f t="shared" si="17"/>
        <v>23419.206189941127</v>
      </c>
      <c r="L153" s="10">
        <f t="shared" si="17"/>
        <v>21181.99660195487</v>
      </c>
      <c r="M153" s="10">
        <f t="shared" si="17"/>
        <v>19158.50504949825</v>
      </c>
      <c r="N153" s="10">
        <f t="shared" si="17"/>
        <v>17328.315296669214</v>
      </c>
      <c r="O153" s="10">
        <f t="shared" si="17"/>
        <v>15672.961446887222</v>
      </c>
      <c r="P153" s="10">
        <f t="shared" si="17"/>
        <v>14175.741629241338</v>
      </c>
      <c r="Q153" s="10">
        <f t="shared" si="17"/>
        <v>12821.549483165263</v>
      </c>
      <c r="R153" s="10">
        <f t="shared" si="17"/>
        <v>11596.721741185778</v>
      </c>
      <c r="S153" s="10">
        <f t="shared" si="17"/>
        <v>10488.900371914395</v>
      </c>
      <c r="T153" s="10">
        <f t="shared" si="17"/>
        <v>9486.9078923589441</v>
      </c>
      <c r="U153" s="10">
        <f t="shared" si="17"/>
        <v>8580.6345915053917</v>
      </c>
      <c r="V153" s="10">
        <f t="shared" si="17"/>
        <v>7760.9365272999694</v>
      </c>
      <c r="W153" s="10">
        <f t="shared" si="17"/>
        <v>7019.5432678612342</v>
      </c>
      <c r="X153" s="15" t="s">
        <v>111</v>
      </c>
      <c r="Z153" s="171" cm="1">
        <f t="array" ref="Z153:AS153">D153:W153-D146:W146-D149:W149-D150:W150</f>
        <v>35453.407454635497</v>
      </c>
      <c r="AA153" s="171">
        <v>27091.073478344806</v>
      </c>
      <c r="AB153" s="171">
        <v>26628.286939529626</v>
      </c>
      <c r="AC153" s="171">
        <v>24382.356339164096</v>
      </c>
      <c r="AD153" s="171">
        <v>22053.138135213841</v>
      </c>
      <c r="AE153" s="171">
        <v>19946.427443094959</v>
      </c>
      <c r="AF153" s="171">
        <v>18040.968378434987</v>
      </c>
      <c r="AG153" s="171">
        <v>16317.535606826905</v>
      </c>
      <c r="AH153" s="171">
        <v>14758.74036774745</v>
      </c>
      <c r="AI153" s="171">
        <v>13348.855028785525</v>
      </c>
      <c r="AJ153" s="171">
        <v>12073.65440000142</v>
      </c>
      <c r="AK153" s="171">
        <v>10920.272207341219</v>
      </c>
      <c r="AL153" s="171">
        <v>9877.0712769793263</v>
      </c>
      <c r="AM153" s="171">
        <v>8933.5261208000902</v>
      </c>
      <c r="AN153" s="171">
        <v>8080.1167383521088</v>
      </c>
      <c r="AO153" s="171">
        <v>7308.2325637785998</v>
      </c>
      <c r="AP153" s="171">
        <v>6610.0855885860165</v>
      </c>
      <c r="AQ153" s="171">
        <v>5978.6317836937678</v>
      </c>
      <c r="AR153" s="171">
        <v>5407.5000279443348</v>
      </c>
      <c r="AS153" s="171">
        <v>4890.9278259903176</v>
      </c>
      <c r="AT153" s="15" t="s">
        <v>112</v>
      </c>
    </row>
    <row r="154" spans="1:46" x14ac:dyDescent="0.35">
      <c r="D154" s="75"/>
      <c r="E154" s="75"/>
      <c r="F154" s="75"/>
      <c r="G154" s="75"/>
      <c r="H154" s="75"/>
      <c r="I154" s="75"/>
      <c r="J154" s="75"/>
      <c r="K154" s="75"/>
      <c r="L154" s="75"/>
      <c r="M154" s="75"/>
      <c r="N154" s="75"/>
      <c r="O154" s="75"/>
      <c r="P154" s="75"/>
      <c r="Q154" s="75"/>
      <c r="R154" s="75"/>
      <c r="S154" s="75"/>
      <c r="T154" s="75"/>
      <c r="U154" s="75"/>
      <c r="V154" s="75"/>
      <c r="W154" s="75"/>
      <c r="X154" s="15"/>
      <c r="Z154" s="164"/>
      <c r="AA154" s="164"/>
      <c r="AB154" s="164"/>
      <c r="AC154" s="164"/>
      <c r="AD154" s="164"/>
      <c r="AE154" s="164"/>
      <c r="AF154" s="164"/>
      <c r="AG154" s="164"/>
      <c r="AH154" s="164"/>
      <c r="AI154" s="164"/>
      <c r="AJ154" s="164"/>
      <c r="AK154" s="164"/>
      <c r="AL154" s="164"/>
      <c r="AM154" s="164"/>
      <c r="AN154" s="164"/>
      <c r="AO154" s="164"/>
      <c r="AP154" s="164"/>
      <c r="AQ154" s="164"/>
      <c r="AR154" s="164"/>
      <c r="AS154" s="164"/>
      <c r="AT154" s="15"/>
    </row>
    <row r="155" spans="1:46" x14ac:dyDescent="0.35">
      <c r="A155" s="12" t="s">
        <v>113</v>
      </c>
      <c r="D155" s="48" t="s">
        <v>97</v>
      </c>
      <c r="E155" s="49"/>
      <c r="F155" s="49"/>
      <c r="G155" s="49"/>
      <c r="H155" s="49"/>
      <c r="I155" s="49"/>
      <c r="J155" s="49"/>
      <c r="K155" s="49"/>
      <c r="L155" s="49"/>
      <c r="M155" s="49"/>
      <c r="N155" s="49"/>
      <c r="O155" s="49"/>
      <c r="P155" s="49"/>
      <c r="Q155" s="49"/>
      <c r="R155" s="49"/>
      <c r="S155" s="49"/>
      <c r="T155" s="49"/>
      <c r="U155" s="49"/>
      <c r="V155" s="49"/>
      <c r="W155" s="49"/>
      <c r="Z155" s="48" t="s">
        <v>87</v>
      </c>
      <c r="AA155" s="49"/>
      <c r="AB155" s="49"/>
      <c r="AC155" s="49"/>
      <c r="AD155" s="49"/>
      <c r="AE155" s="49"/>
      <c r="AF155" s="49"/>
      <c r="AG155" s="49"/>
      <c r="AH155" s="49"/>
      <c r="AI155" s="49"/>
      <c r="AJ155" s="49"/>
      <c r="AK155" s="49"/>
      <c r="AL155" s="49"/>
      <c r="AM155" s="49"/>
      <c r="AN155" s="49"/>
      <c r="AO155" s="49"/>
      <c r="AP155" s="49"/>
      <c r="AQ155" s="49"/>
      <c r="AR155" s="49"/>
      <c r="AS155" s="49"/>
    </row>
    <row r="156" spans="1:46" x14ac:dyDescent="0.35">
      <c r="D156" s="52" cm="1">
        <f t="array" ref="D156:W156">years</f>
        <v>2018</v>
      </c>
      <c r="E156" s="52">
        <v>2019</v>
      </c>
      <c r="F156" s="52">
        <v>2020</v>
      </c>
      <c r="G156" s="52">
        <v>2021</v>
      </c>
      <c r="H156" s="52">
        <v>2022</v>
      </c>
      <c r="I156" s="52">
        <v>2023</v>
      </c>
      <c r="J156" s="52">
        <v>2024</v>
      </c>
      <c r="K156" s="52">
        <v>2025</v>
      </c>
      <c r="L156" s="52">
        <v>2026</v>
      </c>
      <c r="M156" s="52">
        <v>2027</v>
      </c>
      <c r="N156" s="52">
        <v>2028</v>
      </c>
      <c r="O156" s="52">
        <v>2029</v>
      </c>
      <c r="P156" s="52">
        <v>2030</v>
      </c>
      <c r="Q156" s="52">
        <v>2031</v>
      </c>
      <c r="R156" s="52">
        <v>2032</v>
      </c>
      <c r="S156" s="52">
        <v>2033</v>
      </c>
      <c r="T156" s="52">
        <v>2034</v>
      </c>
      <c r="U156" s="52">
        <v>2035</v>
      </c>
      <c r="V156" s="52">
        <v>2036</v>
      </c>
      <c r="W156" s="52">
        <v>2037</v>
      </c>
      <c r="Z156" s="52" cm="1">
        <f t="array" ref="Z156:AS156">years</f>
        <v>2018</v>
      </c>
      <c r="AA156" s="52">
        <v>2019</v>
      </c>
      <c r="AB156" s="52">
        <v>2020</v>
      </c>
      <c r="AC156" s="52">
        <v>2021</v>
      </c>
      <c r="AD156" s="52">
        <v>2022</v>
      </c>
      <c r="AE156" s="52">
        <v>2023</v>
      </c>
      <c r="AF156" s="52">
        <v>2024</v>
      </c>
      <c r="AG156" s="52">
        <v>2025</v>
      </c>
      <c r="AH156" s="52">
        <v>2026</v>
      </c>
      <c r="AI156" s="52">
        <v>2027</v>
      </c>
      <c r="AJ156" s="52">
        <v>2028</v>
      </c>
      <c r="AK156" s="52">
        <v>2029</v>
      </c>
      <c r="AL156" s="52">
        <v>2030</v>
      </c>
      <c r="AM156" s="52">
        <v>2031</v>
      </c>
      <c r="AN156" s="52">
        <v>2032</v>
      </c>
      <c r="AO156" s="52">
        <v>2033</v>
      </c>
      <c r="AP156" s="52">
        <v>2034</v>
      </c>
      <c r="AQ156" s="52">
        <v>2035</v>
      </c>
      <c r="AR156" s="52">
        <v>2036</v>
      </c>
      <c r="AS156" s="52">
        <v>2037</v>
      </c>
    </row>
    <row r="157" spans="1:46" x14ac:dyDescent="0.35">
      <c r="A157" s="12" t="str" cm="1">
        <f t="array" ref="A157:A163">fixed_services</f>
        <v>On-net fixed to fixed traffic</v>
      </c>
      <c r="D157" s="26" cm="1">
        <f t="array" ref="D157:W163">fixed_minutes_busy_hour_onnet_factor/sec_minute/non_homo_fixed</f>
        <v>17725.224447722485</v>
      </c>
      <c r="E157" s="26">
        <v>14909.357345516044</v>
      </c>
      <c r="F157" s="26">
        <v>12958.372469308204</v>
      </c>
      <c r="G157" s="26">
        <v>11475.258425616574</v>
      </c>
      <c r="H157" s="26">
        <v>10379.040305916338</v>
      </c>
      <c r="I157" s="26">
        <v>9387.5426309667419</v>
      </c>
      <c r="J157" s="26">
        <v>8490.7615782148714</v>
      </c>
      <c r="K157" s="26">
        <v>7679.6489786662796</v>
      </c>
      <c r="L157" s="26">
        <v>6946.0210244096361</v>
      </c>
      <c r="M157" s="26">
        <v>6282.4756972055975</v>
      </c>
      <c r="N157" s="26">
        <v>5682.3180850267572</v>
      </c>
      <c r="O157" s="26">
        <v>5139.4928330218554</v>
      </c>
      <c r="P157" s="26">
        <v>4648.5230473609845</v>
      </c>
      <c r="Q157" s="26">
        <v>4204.4550355255578</v>
      </c>
      <c r="R157" s="26">
        <v>3802.8083254942426</v>
      </c>
      <c r="S157" s="26">
        <v>3439.5304595380585</v>
      </c>
      <c r="T157" s="26">
        <v>3110.9561065117637</v>
      </c>
      <c r="U157" s="26">
        <v>2813.7700801005926</v>
      </c>
      <c r="V157" s="26">
        <v>2544.973889890965</v>
      </c>
      <c r="W157" s="26">
        <v>2301.85548777859</v>
      </c>
    </row>
    <row r="158" spans="1:46" x14ac:dyDescent="0.35">
      <c r="A158" s="12" t="str">
        <v>Incoming fixed to fixed traffic</v>
      </c>
      <c r="D158" s="26">
        <v>5908.4081492408286</v>
      </c>
      <c r="E158" s="26">
        <v>4969.785781838681</v>
      </c>
      <c r="F158" s="26">
        <v>4319.457489769401</v>
      </c>
      <c r="G158" s="26">
        <v>3825.0861418721915</v>
      </c>
      <c r="H158" s="26">
        <v>3459.680101972112</v>
      </c>
      <c r="I158" s="26">
        <v>3129.1808769889135</v>
      </c>
      <c r="J158" s="26">
        <v>2830.253859404957</v>
      </c>
      <c r="K158" s="26">
        <v>2559.8829928887599</v>
      </c>
      <c r="L158" s="26">
        <v>2315.3403414698782</v>
      </c>
      <c r="M158" s="26">
        <v>2094.1585657351989</v>
      </c>
      <c r="N158" s="26">
        <v>1894.1060283422521</v>
      </c>
      <c r="O158" s="26">
        <v>1713.1642776739511</v>
      </c>
      <c r="P158" s="26">
        <v>1549.5076824536611</v>
      </c>
      <c r="Q158" s="26">
        <v>1401.4850118418522</v>
      </c>
      <c r="R158" s="26">
        <v>1267.6027751647473</v>
      </c>
      <c r="S158" s="26">
        <v>1146.5101531793525</v>
      </c>
      <c r="T158" s="26">
        <v>1036.9853688372541</v>
      </c>
      <c r="U158" s="26">
        <v>937.92336003353068</v>
      </c>
      <c r="V158" s="26">
        <v>848.32462996365507</v>
      </c>
      <c r="W158" s="26">
        <v>767.28516259286312</v>
      </c>
    </row>
    <row r="159" spans="1:46" x14ac:dyDescent="0.35">
      <c r="A159" s="12" t="str">
        <v>Off-net fixed to fixed traffic</v>
      </c>
      <c r="D159" s="26">
        <v>5908.4081492408286</v>
      </c>
      <c r="E159" s="26">
        <v>4969.785781838681</v>
      </c>
      <c r="F159" s="26">
        <v>4319.457489769401</v>
      </c>
      <c r="G159" s="26">
        <v>3825.0861418721915</v>
      </c>
      <c r="H159" s="26">
        <v>3459.680101972112</v>
      </c>
      <c r="I159" s="26">
        <v>3129.1808769889135</v>
      </c>
      <c r="J159" s="26">
        <v>2830.253859404957</v>
      </c>
      <c r="K159" s="26">
        <v>2559.8829928887599</v>
      </c>
      <c r="L159" s="26">
        <v>2315.3403414698782</v>
      </c>
      <c r="M159" s="26">
        <v>2094.1585657351989</v>
      </c>
      <c r="N159" s="26">
        <v>1894.1060283422521</v>
      </c>
      <c r="O159" s="26">
        <v>1713.1642776739511</v>
      </c>
      <c r="P159" s="26">
        <v>1549.5076824536611</v>
      </c>
      <c r="Q159" s="26">
        <v>1401.4850118418522</v>
      </c>
      <c r="R159" s="26">
        <v>1267.6027751647473</v>
      </c>
      <c r="S159" s="26">
        <v>1146.5101531793525</v>
      </c>
      <c r="T159" s="26">
        <v>1036.9853688372541</v>
      </c>
      <c r="U159" s="26">
        <v>937.92336003353068</v>
      </c>
      <c r="V159" s="26">
        <v>848.32462996365507</v>
      </c>
      <c r="W159" s="26">
        <v>767.28516259286312</v>
      </c>
    </row>
    <row r="160" spans="1:46" x14ac:dyDescent="0.35">
      <c r="A160" s="12" t="str">
        <v>Fixed to Mobile Telephone traffic</v>
      </c>
      <c r="D160" s="26">
        <v>19815.217811423725</v>
      </c>
      <c r="E160" s="26">
        <v>14472.415135064035</v>
      </c>
      <c r="F160" s="26">
        <v>15631.070610159557</v>
      </c>
      <c r="G160" s="26">
        <v>14661.655870129614</v>
      </c>
      <c r="H160" s="26">
        <v>13261.044900552964</v>
      </c>
      <c r="I160" s="26">
        <v>11994.232671410202</v>
      </c>
      <c r="J160" s="26">
        <v>10848.43754430883</v>
      </c>
      <c r="K160" s="26">
        <v>9812.0988959381539</v>
      </c>
      <c r="L160" s="26">
        <v>8874.7604759155838</v>
      </c>
      <c r="M160" s="26">
        <v>8026.9649073225009</v>
      </c>
      <c r="N160" s="26">
        <v>7260.1582654814856</v>
      </c>
      <c r="O160" s="26">
        <v>6566.6037722122292</v>
      </c>
      <c r="P160" s="26">
        <v>5939.3037347750151</v>
      </c>
      <c r="Q160" s="26">
        <v>5371.9289418963235</v>
      </c>
      <c r="R160" s="26">
        <v>4858.7548045101785</v>
      </c>
      <c r="S160" s="26">
        <v>4394.6035969003642</v>
      </c>
      <c r="T160" s="26">
        <v>3974.7922154792795</v>
      </c>
      <c r="U160" s="26">
        <v>3595.0849281100432</v>
      </c>
      <c r="V160" s="26">
        <v>3251.6506372309946</v>
      </c>
      <c r="W160" s="26">
        <v>2941.0242255843286</v>
      </c>
    </row>
    <row r="161" spans="1:46" x14ac:dyDescent="0.35">
      <c r="A161" s="12" t="str">
        <v>Outgoing mobile traffic to fixed networks</v>
      </c>
      <c r="D161" s="26">
        <v>5758.0958245770153</v>
      </c>
      <c r="E161" s="26">
        <v>5993.3207444296786</v>
      </c>
      <c r="F161" s="26">
        <v>7166.6473641953644</v>
      </c>
      <c r="G161" s="26">
        <v>6676.7333192891574</v>
      </c>
      <c r="H161" s="26">
        <v>6038.9127340313717</v>
      </c>
      <c r="I161" s="26">
        <v>5462.0224090557049</v>
      </c>
      <c r="J161" s="26">
        <v>4940.241747310487</v>
      </c>
      <c r="K161" s="26">
        <v>4468.3061866252519</v>
      </c>
      <c r="L161" s="26">
        <v>4041.4540823438547</v>
      </c>
      <c r="M161" s="26">
        <v>3655.378664197985</v>
      </c>
      <c r="N161" s="26">
        <v>3306.1845826848116</v>
      </c>
      <c r="O161" s="26">
        <v>2990.3486065187303</v>
      </c>
      <c r="P161" s="26">
        <v>2704.6840746099374</v>
      </c>
      <c r="Q161" s="26">
        <v>2446.3087439042351</v>
      </c>
      <c r="R161" s="26">
        <v>2212.6157086813819</v>
      </c>
      <c r="S161" s="26">
        <v>2001.2470978991294</v>
      </c>
      <c r="T161" s="26">
        <v>1810.0702851994477</v>
      </c>
      <c r="U161" s="26">
        <v>1637.1563715452548</v>
      </c>
      <c r="V161" s="26">
        <v>1480.7607233858826</v>
      </c>
      <c r="W161" s="26">
        <v>1339.3053699890097</v>
      </c>
    </row>
    <row r="162" spans="1:46" x14ac:dyDescent="0.35">
      <c r="A162" s="12" t="str">
        <v xml:space="preserve">International incoming fixed telephone traffic </v>
      </c>
      <c r="D162" s="26">
        <v>877.71157025163677</v>
      </c>
      <c r="E162" s="26">
        <v>384.6564892311365</v>
      </c>
      <c r="F162" s="26">
        <v>251.02742145012911</v>
      </c>
      <c r="G162" s="26">
        <v>109.7990413535672</v>
      </c>
      <c r="H162" s="26">
        <v>99.310066361177959</v>
      </c>
      <c r="I162" s="26">
        <v>89.823090976751558</v>
      </c>
      <c r="J162" s="26">
        <v>81.242395340617549</v>
      </c>
      <c r="K162" s="26">
        <v>73.481403600211493</v>
      </c>
      <c r="L162" s="26">
        <v>66.461810393688125</v>
      </c>
      <c r="M162" s="26">
        <v>60.112790779541356</v>
      </c>
      <c r="N162" s="26">
        <v>54.370285640730771</v>
      </c>
      <c r="O162" s="26">
        <v>49.176355353322514</v>
      </c>
      <c r="P162" s="26">
        <v>44.478595198414858</v>
      </c>
      <c r="Q162" s="26">
        <v>40.229606619084052</v>
      </c>
      <c r="R162" s="26">
        <v>36.386518987540541</v>
      </c>
      <c r="S162" s="26">
        <v>32.910557057313639</v>
      </c>
      <c r="T162" s="26">
        <v>29.766649736227116</v>
      </c>
      <c r="U162" s="26">
        <v>26.923076232838302</v>
      </c>
      <c r="V162" s="26">
        <v>24.351146006097249</v>
      </c>
      <c r="W162" s="26">
        <v>22.024909289043482</v>
      </c>
    </row>
    <row r="163" spans="1:46" x14ac:dyDescent="0.35">
      <c r="A163" s="12" t="str">
        <v>International outgoing fixed telephone traffic</v>
      </c>
      <c r="D163" s="26">
        <v>867.16927010970892</v>
      </c>
      <c r="E163" s="26">
        <v>194.19388868407282</v>
      </c>
      <c r="F163" s="26">
        <v>198.57260494657629</v>
      </c>
      <c r="G163" s="26">
        <v>157.98511435400147</v>
      </c>
      <c r="H163" s="26">
        <v>142.89297973059624</v>
      </c>
      <c r="I163" s="26">
        <v>129.24257921247266</v>
      </c>
      <c r="J163" s="26">
        <v>116.89618561376874</v>
      </c>
      <c r="K163" s="26">
        <v>105.72922866684749</v>
      </c>
      <c r="L163" s="26">
        <v>95.629038157168367</v>
      </c>
      <c r="M163" s="26">
        <v>86.493707125025537</v>
      </c>
      <c r="N163" s="26">
        <v>78.23106366430504</v>
      </c>
      <c r="O163" s="26">
        <v>70.75774094411311</v>
      </c>
      <c r="P163" s="26">
        <v>63.998336070159304</v>
      </c>
      <c r="Q163" s="26">
        <v>57.884649299135283</v>
      </c>
      <c r="R163" s="26">
        <v>52.35499593006125</v>
      </c>
      <c r="S163" s="26">
        <v>47.353583929853357</v>
      </c>
      <c r="T163" s="26">
        <v>42.829951013598389</v>
      </c>
      <c r="U163" s="26">
        <v>38.738455499896496</v>
      </c>
      <c r="V163" s="26">
        <v>35.037815804202133</v>
      </c>
      <c r="W163" s="26">
        <v>31.690693923831756</v>
      </c>
      <c r="X163" s="15"/>
    </row>
    <row r="164" spans="1:46" x14ac:dyDescent="0.35">
      <c r="D164" s="75"/>
      <c r="E164" s="75"/>
      <c r="F164" s="75"/>
      <c r="G164" s="75"/>
      <c r="H164" s="75"/>
      <c r="I164" s="75"/>
      <c r="J164" s="75"/>
      <c r="K164" s="75"/>
      <c r="L164" s="75"/>
      <c r="M164" s="75"/>
      <c r="N164" s="75"/>
      <c r="O164" s="75"/>
      <c r="P164" s="75"/>
      <c r="Q164" s="75"/>
      <c r="R164" s="75"/>
      <c r="S164" s="75"/>
      <c r="T164" s="75"/>
      <c r="U164" s="75"/>
      <c r="V164" s="75"/>
      <c r="W164" s="75"/>
      <c r="X164" s="15"/>
    </row>
    <row r="165" spans="1:46" x14ac:dyDescent="0.35">
      <c r="A165" s="12" t="s">
        <v>114</v>
      </c>
      <c r="D165" s="26">
        <f>SUM(D157:D163)</f>
        <v>56860.235222566225</v>
      </c>
      <c r="E165" s="26">
        <f t="shared" ref="E165:W165" si="18">SUM(E157:E163)</f>
        <v>45893.515166602323</v>
      </c>
      <c r="F165" s="26">
        <f t="shared" si="18"/>
        <v>44844.605449598625</v>
      </c>
      <c r="G165" s="26">
        <f>SUM(G157:G163)</f>
        <v>40731.604054487296</v>
      </c>
      <c r="H165" s="26">
        <f t="shared" si="18"/>
        <v>36840.561190536675</v>
      </c>
      <c r="I165" s="26">
        <f t="shared" si="18"/>
        <v>33321.2251355997</v>
      </c>
      <c r="J165" s="26">
        <f t="shared" si="18"/>
        <v>30138.08716959849</v>
      </c>
      <c r="K165" s="26">
        <f t="shared" si="18"/>
        <v>27259.030679274263</v>
      </c>
      <c r="L165" s="26">
        <f t="shared" si="18"/>
        <v>24655.007114159689</v>
      </c>
      <c r="M165" s="26">
        <f t="shared" si="18"/>
        <v>22299.742898101045</v>
      </c>
      <c r="N165" s="26">
        <f t="shared" si="18"/>
        <v>20169.47433918259</v>
      </c>
      <c r="O165" s="26">
        <f t="shared" si="18"/>
        <v>18242.707863398155</v>
      </c>
      <c r="P165" s="26">
        <f t="shared" si="18"/>
        <v>16500.003152921832</v>
      </c>
      <c r="Q165" s="26">
        <f t="shared" si="18"/>
        <v>14923.777000928043</v>
      </c>
      <c r="R165" s="26">
        <f t="shared" si="18"/>
        <v>13498.125903932902</v>
      </c>
      <c r="S165" s="26">
        <f t="shared" si="18"/>
        <v>12208.665601683424</v>
      </c>
      <c r="T165" s="26">
        <f t="shared" si="18"/>
        <v>11042.385945614828</v>
      </c>
      <c r="U165" s="26">
        <f t="shared" si="18"/>
        <v>9987.5196315556877</v>
      </c>
      <c r="V165" s="26">
        <f t="shared" si="18"/>
        <v>9033.4234722454512</v>
      </c>
      <c r="W165" s="26">
        <f t="shared" si="18"/>
        <v>8170.4710117505301</v>
      </c>
      <c r="X165" s="15" t="s">
        <v>115</v>
      </c>
      <c r="Z165" s="171" cm="1">
        <f t="array" ref="Z165:AS165">D165:W165-D158:W158-D161:W161-D162:W162</f>
        <v>44316.019678496741</v>
      </c>
      <c r="AA165" s="171">
        <v>34545.752151102824</v>
      </c>
      <c r="AB165" s="171">
        <v>33107.473174183731</v>
      </c>
      <c r="AC165" s="171">
        <v>30119.985551972382</v>
      </c>
      <c r="AD165" s="171">
        <v>27242.658288172017</v>
      </c>
      <c r="AE165" s="171">
        <v>24640.198758578328</v>
      </c>
      <c r="AF165" s="171">
        <v>22286.349167542427</v>
      </c>
      <c r="AG165" s="171">
        <v>20157.360096160042</v>
      </c>
      <c r="AH165" s="171">
        <v>18231.750879952269</v>
      </c>
      <c r="AI165" s="171">
        <v>16490.092877388321</v>
      </c>
      <c r="AJ165" s="171">
        <v>14914.813442514796</v>
      </c>
      <c r="AK165" s="171">
        <v>13490.018623852153</v>
      </c>
      <c r="AL165" s="171">
        <v>12201.33280065982</v>
      </c>
      <c r="AM165" s="171">
        <v>11035.75363856287</v>
      </c>
      <c r="AN165" s="171">
        <v>9981.5209010992312</v>
      </c>
      <c r="AO165" s="171">
        <v>9027.997793547629</v>
      </c>
      <c r="AP165" s="171">
        <v>8165.563641841899</v>
      </c>
      <c r="AQ165" s="171">
        <v>7385.5168237440648</v>
      </c>
      <c r="AR165" s="171">
        <v>6679.9869728898166</v>
      </c>
      <c r="AS165" s="171">
        <v>6041.8555698796135</v>
      </c>
      <c r="AT165" s="15" t="s">
        <v>116</v>
      </c>
    </row>
    <row r="167" spans="1:46" s="48" customFormat="1" x14ac:dyDescent="0.35">
      <c r="A167" s="48" t="s">
        <v>117</v>
      </c>
    </row>
    <row r="169" spans="1:46" x14ac:dyDescent="0.35">
      <c r="A169"/>
      <c r="C169"/>
      <c r="D169" s="52" cm="1">
        <f t="array" ref="D169:W169">years</f>
        <v>2018</v>
      </c>
      <c r="E169" s="52">
        <v>2019</v>
      </c>
      <c r="F169" s="52">
        <v>2020</v>
      </c>
      <c r="G169" s="52">
        <v>2021</v>
      </c>
      <c r="H169" s="52">
        <v>2022</v>
      </c>
      <c r="I169" s="52">
        <v>2023</v>
      </c>
      <c r="J169" s="52">
        <v>2024</v>
      </c>
      <c r="K169" s="52">
        <v>2025</v>
      </c>
      <c r="L169" s="52">
        <v>2026</v>
      </c>
      <c r="M169" s="52">
        <v>2027</v>
      </c>
      <c r="N169" s="52">
        <v>2028</v>
      </c>
      <c r="O169" s="52">
        <v>2029</v>
      </c>
      <c r="P169" s="52">
        <v>2030</v>
      </c>
      <c r="Q169" s="52">
        <v>2031</v>
      </c>
      <c r="R169" s="52">
        <v>2032</v>
      </c>
      <c r="S169" s="52">
        <v>2033</v>
      </c>
      <c r="T169" s="52">
        <v>2034</v>
      </c>
      <c r="U169" s="52">
        <v>2035</v>
      </c>
      <c r="V169" s="52">
        <v>2036</v>
      </c>
      <c r="W169" s="52">
        <v>2037</v>
      </c>
    </row>
    <row r="170" spans="1:46" x14ac:dyDescent="0.35">
      <c r="A170" s="17" t="s">
        <v>118</v>
      </c>
      <c r="B170" s="17" t="s">
        <v>119</v>
      </c>
      <c r="C170" s="17"/>
      <c r="D170" s="4" cm="1">
        <f t="array" ref="D170:W170">D66:W66+D69:W69+D70:W70</f>
        <v>2577904500</v>
      </c>
      <c r="E170" s="4">
        <v>2332027000</v>
      </c>
      <c r="F170" s="4">
        <v>2412044500</v>
      </c>
      <c r="G170" s="4">
        <v>2180745300</v>
      </c>
      <c r="H170" s="4">
        <v>1972421232.3716333</v>
      </c>
      <c r="I170" s="4">
        <v>1783998121.1517148</v>
      </c>
      <c r="J170" s="4">
        <v>1613574851.0707524</v>
      </c>
      <c r="K170" s="4">
        <v>1459431918.1945953</v>
      </c>
      <c r="L170" s="4">
        <v>1320014080.8043382</v>
      </c>
      <c r="M170" s="4">
        <v>1193914667.6175349</v>
      </c>
      <c r="N170" s="4">
        <v>1079861385.0268285</v>
      </c>
      <c r="O170" s="4">
        <v>976703480.15660346</v>
      </c>
      <c r="P170" s="4">
        <v>883400130.21793544</v>
      </c>
      <c r="Q170" s="4">
        <v>799009941.01499224</v>
      </c>
      <c r="R170" s="4">
        <v>722681448.64692688</v>
      </c>
      <c r="S170" s="4">
        <v>653644528.57116723</v>
      </c>
      <c r="T170" s="4">
        <v>591202625.34891939</v>
      </c>
      <c r="U170" s="4">
        <v>534725724.67406476</v>
      </c>
      <c r="V170" s="4">
        <v>483643996.77598</v>
      </c>
      <c r="W170" s="4">
        <v>437442047.0607093</v>
      </c>
      <c r="X170" s="15" t="s">
        <v>120</v>
      </c>
      <c r="Y170" s="23"/>
      <c r="Z170" s="23"/>
      <c r="AA170" s="23"/>
      <c r="AB170" s="23"/>
      <c r="AC170" s="23"/>
    </row>
  </sheetData>
  <phoneticPr fontId="1" type="noConversion"/>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BD908-4D53-4693-ADEE-DCA449317818}">
  <dimension ref="A1:BP125"/>
  <sheetViews>
    <sheetView zoomScale="80" zoomScaleNormal="80" workbookViewId="0">
      <selection activeCell="D16" sqref="D16"/>
    </sheetView>
  </sheetViews>
  <sheetFormatPr defaultColWidth="8.54296875" defaultRowHeight="14.5" x14ac:dyDescent="0.35"/>
  <cols>
    <col min="1" max="1" width="67.54296875" style="12" customWidth="1"/>
    <col min="2" max="2" width="38.54296875" style="12" bestFit="1" customWidth="1"/>
    <col min="3" max="3" width="17.54296875" style="12" bestFit="1" customWidth="1"/>
    <col min="4" max="23" width="10.54296875" style="12" customWidth="1"/>
    <col min="24" max="24" width="17.54296875" style="12" bestFit="1" customWidth="1"/>
    <col min="25" max="25" width="12.453125" style="12" bestFit="1" customWidth="1"/>
    <col min="26" max="45" width="15.54296875" style="12" customWidth="1"/>
    <col min="46" max="46" width="35.453125" style="12" bestFit="1" customWidth="1"/>
    <col min="47" max="47" width="8.54296875" style="12"/>
    <col min="48" max="67" width="15.54296875" style="12" customWidth="1"/>
    <col min="68" max="16384" width="8.54296875" style="12"/>
  </cols>
  <sheetData>
    <row r="1" spans="1:45" ht="18.5" x14ac:dyDescent="0.45">
      <c r="A1" s="89" t="s">
        <v>121</v>
      </c>
      <c r="B1" s="89"/>
      <c r="C1" s="89"/>
      <c r="D1" s="91"/>
      <c r="E1" s="91"/>
      <c r="F1" s="91"/>
      <c r="G1" s="91"/>
      <c r="H1" s="91"/>
      <c r="I1" s="91"/>
      <c r="J1" s="91"/>
      <c r="K1" s="91"/>
      <c r="L1" s="91"/>
    </row>
    <row r="3" spans="1:45" x14ac:dyDescent="0.35">
      <c r="A3" s="18" t="s">
        <v>122</v>
      </c>
    </row>
    <row r="4" spans="1:45" x14ac:dyDescent="0.35">
      <c r="A4" s="18"/>
    </row>
    <row r="5" spans="1:45" x14ac:dyDescent="0.35">
      <c r="A5" s="18" t="s">
        <v>123</v>
      </c>
      <c r="C5" s="9">
        <v>0.8</v>
      </c>
      <c r="D5" s="15" t="s">
        <v>124</v>
      </c>
    </row>
    <row r="6" spans="1:45" x14ac:dyDescent="0.35">
      <c r="A6" s="12" t="s">
        <v>125</v>
      </c>
      <c r="B6" s="18"/>
      <c r="C6" s="9">
        <v>2</v>
      </c>
      <c r="D6" s="15" t="s">
        <v>126</v>
      </c>
    </row>
    <row r="7" spans="1:45" x14ac:dyDescent="0.35">
      <c r="A7" s="21"/>
    </row>
    <row r="8" spans="1:45" x14ac:dyDescent="0.35">
      <c r="A8" s="21"/>
    </row>
    <row r="9" spans="1:45" x14ac:dyDescent="0.35">
      <c r="A9" s="21" t="s">
        <v>366</v>
      </c>
    </row>
    <row r="10" spans="1:45" x14ac:dyDescent="0.35">
      <c r="D10" s="21"/>
      <c r="Z10" s="21"/>
    </row>
    <row r="11" spans="1:45" x14ac:dyDescent="0.35">
      <c r="A11" s="12" t="s">
        <v>128</v>
      </c>
      <c r="D11" s="21"/>
      <c r="Z11" s="21"/>
    </row>
    <row r="12" spans="1:45" x14ac:dyDescent="0.35">
      <c r="A12" s="12" t="s">
        <v>129</v>
      </c>
      <c r="D12" s="21"/>
      <c r="Z12" s="21"/>
    </row>
    <row r="13" spans="1:45" x14ac:dyDescent="0.35">
      <c r="B13" s="114"/>
      <c r="D13" s="48" t="s">
        <v>97</v>
      </c>
      <c r="E13" s="49"/>
      <c r="F13" s="49"/>
      <c r="G13" s="49"/>
      <c r="H13" s="49"/>
      <c r="I13" s="49"/>
      <c r="J13" s="49"/>
      <c r="K13" s="49"/>
      <c r="L13" s="49"/>
      <c r="M13" s="49"/>
      <c r="N13" s="49"/>
      <c r="O13" s="49"/>
      <c r="P13" s="49"/>
      <c r="Q13" s="49"/>
      <c r="R13" s="49"/>
      <c r="S13" s="49"/>
      <c r="T13" s="49"/>
      <c r="U13" s="49"/>
      <c r="V13" s="49"/>
      <c r="W13" s="49"/>
      <c r="Z13" s="48" t="s">
        <v>127</v>
      </c>
      <c r="AA13" s="49"/>
      <c r="AB13" s="49"/>
      <c r="AC13" s="49"/>
      <c r="AD13" s="49"/>
      <c r="AE13" s="49"/>
      <c r="AF13" s="49"/>
      <c r="AG13" s="49"/>
      <c r="AH13" s="49"/>
      <c r="AI13" s="49"/>
      <c r="AJ13" s="49"/>
      <c r="AK13" s="49"/>
      <c r="AL13" s="49"/>
      <c r="AM13" s="49"/>
      <c r="AN13" s="49"/>
      <c r="AO13" s="49"/>
      <c r="AP13" s="49"/>
      <c r="AQ13" s="49"/>
      <c r="AR13" s="49"/>
      <c r="AS13" s="49"/>
    </row>
    <row r="14" spans="1:45" x14ac:dyDescent="0.35">
      <c r="AA14"/>
    </row>
    <row r="15" spans="1:45" x14ac:dyDescent="0.35">
      <c r="A15" s="129" t="s">
        <v>130</v>
      </c>
      <c r="B15" s="29" t="s">
        <v>131</v>
      </c>
      <c r="C15" s="29" t="s">
        <v>22</v>
      </c>
      <c r="D15" s="52" cm="1">
        <f t="array" ref="D15:W15">years</f>
        <v>2018</v>
      </c>
      <c r="E15" s="52">
        <v>2019</v>
      </c>
      <c r="F15" s="52">
        <v>2020</v>
      </c>
      <c r="G15" s="52">
        <v>2021</v>
      </c>
      <c r="H15" s="52">
        <v>2022</v>
      </c>
      <c r="I15" s="52">
        <v>2023</v>
      </c>
      <c r="J15" s="52">
        <v>2024</v>
      </c>
      <c r="K15" s="52">
        <v>2025</v>
      </c>
      <c r="L15" s="52">
        <v>2026</v>
      </c>
      <c r="M15" s="52">
        <v>2027</v>
      </c>
      <c r="N15" s="52">
        <v>2028</v>
      </c>
      <c r="O15" s="52">
        <v>2029</v>
      </c>
      <c r="P15" s="52">
        <v>2030</v>
      </c>
      <c r="Q15" s="52">
        <v>2031</v>
      </c>
      <c r="R15" s="52">
        <v>2032</v>
      </c>
      <c r="S15" s="52">
        <v>2033</v>
      </c>
      <c r="T15" s="52">
        <v>2034</v>
      </c>
      <c r="U15" s="52">
        <v>2035</v>
      </c>
      <c r="V15" s="52">
        <v>2036</v>
      </c>
      <c r="W15" s="52">
        <v>2037</v>
      </c>
      <c r="X15" s="177"/>
      <c r="Z15" s="52" cm="1">
        <f t="array" ref="Z15:AS15">years</f>
        <v>2018</v>
      </c>
      <c r="AA15" s="52">
        <v>2019</v>
      </c>
      <c r="AB15" s="52">
        <v>2020</v>
      </c>
      <c r="AC15" s="52">
        <v>2021</v>
      </c>
      <c r="AD15" s="52">
        <v>2022</v>
      </c>
      <c r="AE15" s="52">
        <v>2023</v>
      </c>
      <c r="AF15" s="52">
        <v>2024</v>
      </c>
      <c r="AG15" s="52">
        <v>2025</v>
      </c>
      <c r="AH15" s="52">
        <v>2026</v>
      </c>
      <c r="AI15" s="52">
        <v>2027</v>
      </c>
      <c r="AJ15" s="52">
        <v>2028</v>
      </c>
      <c r="AK15" s="52">
        <v>2029</v>
      </c>
      <c r="AL15" s="52">
        <v>2030</v>
      </c>
      <c r="AM15" s="52">
        <v>2031</v>
      </c>
      <c r="AN15" s="52">
        <v>2032</v>
      </c>
      <c r="AO15" s="52">
        <v>2033</v>
      </c>
      <c r="AP15" s="52">
        <v>2034</v>
      </c>
      <c r="AQ15" s="52">
        <v>2035</v>
      </c>
      <c r="AR15" s="52">
        <v>2036</v>
      </c>
      <c r="AS15" s="52">
        <v>2037</v>
      </c>
    </row>
    <row r="16" spans="1:45" x14ac:dyDescent="0.35">
      <c r="A16" s="7" t="s">
        <v>132</v>
      </c>
      <c r="B16" s="7" t="str">
        <f>'2 Dimensioning'!B40</f>
        <v>Calls per second</v>
      </c>
      <c r="C16" s="17" t="s">
        <v>133</v>
      </c>
      <c r="D16" s="207" cm="1">
        <f t="array" ref="D16:W16">ROUNDUP((fixed_calls_persecond_onnet_factor/max_load)/as_hardware,0)*redundancy</f>
        <v>2</v>
      </c>
      <c r="E16" s="207">
        <v>2</v>
      </c>
      <c r="F16" s="207">
        <v>2</v>
      </c>
      <c r="G16" s="207">
        <v>2</v>
      </c>
      <c r="H16" s="207">
        <v>2</v>
      </c>
      <c r="I16" s="207">
        <v>2</v>
      </c>
      <c r="J16" s="207">
        <v>2</v>
      </c>
      <c r="K16" s="207">
        <v>2</v>
      </c>
      <c r="L16" s="207">
        <v>2</v>
      </c>
      <c r="M16" s="207">
        <v>2</v>
      </c>
      <c r="N16" s="207">
        <v>2</v>
      </c>
      <c r="O16" s="207">
        <v>2</v>
      </c>
      <c r="P16" s="207">
        <v>2</v>
      </c>
      <c r="Q16" s="207">
        <v>2</v>
      </c>
      <c r="R16" s="207">
        <v>2</v>
      </c>
      <c r="S16" s="207">
        <v>2</v>
      </c>
      <c r="T16" s="207">
        <v>2</v>
      </c>
      <c r="U16" s="207">
        <v>2</v>
      </c>
      <c r="V16" s="207">
        <v>2</v>
      </c>
      <c r="W16" s="207">
        <v>2</v>
      </c>
      <c r="X16" s="84"/>
      <c r="Z16" s="207" cm="1">
        <f t="array" ref="Z16:AS16">ROUNDUP((fixed_calls_persecond_onnet_factor_noincoming/max_load)/as_hardware,0)*redundancy</f>
        <v>2</v>
      </c>
      <c r="AA16" s="207">
        <v>2</v>
      </c>
      <c r="AB16" s="207">
        <v>2</v>
      </c>
      <c r="AC16" s="207">
        <v>2</v>
      </c>
      <c r="AD16" s="207">
        <v>2</v>
      </c>
      <c r="AE16" s="207">
        <v>2</v>
      </c>
      <c r="AF16" s="207">
        <v>2</v>
      </c>
      <c r="AG16" s="207">
        <v>2</v>
      </c>
      <c r="AH16" s="207">
        <v>2</v>
      </c>
      <c r="AI16" s="207">
        <v>2</v>
      </c>
      <c r="AJ16" s="207">
        <v>2</v>
      </c>
      <c r="AK16" s="207">
        <v>2</v>
      </c>
      <c r="AL16" s="207">
        <v>2</v>
      </c>
      <c r="AM16" s="207">
        <v>2</v>
      </c>
      <c r="AN16" s="207">
        <v>2</v>
      </c>
      <c r="AO16" s="207">
        <v>2</v>
      </c>
      <c r="AP16" s="207">
        <v>2</v>
      </c>
      <c r="AQ16" s="207">
        <v>2</v>
      </c>
      <c r="AR16" s="207">
        <v>2</v>
      </c>
      <c r="AS16" s="207">
        <v>2</v>
      </c>
    </row>
    <row r="17" spans="1:49" x14ac:dyDescent="0.35">
      <c r="A17" s="7" t="s">
        <v>134</v>
      </c>
      <c r="B17" s="7" t="str">
        <f>'2 Dimensioning'!B41</f>
        <v>Calls per second</v>
      </c>
      <c r="C17" s="17" t="s">
        <v>133</v>
      </c>
      <c r="D17" s="207" cm="1">
        <f t="array" ref="D17:W17">ROUNDUP((fixed_calls_persecond_onnet_factor/max_load)/as_software,0)*redundancy</f>
        <v>2</v>
      </c>
      <c r="E17" s="5">
        <v>2</v>
      </c>
      <c r="F17" s="5">
        <v>2</v>
      </c>
      <c r="G17" s="5">
        <v>2</v>
      </c>
      <c r="H17" s="5">
        <v>2</v>
      </c>
      <c r="I17" s="5">
        <v>2</v>
      </c>
      <c r="J17" s="5">
        <v>2</v>
      </c>
      <c r="K17" s="5">
        <v>2</v>
      </c>
      <c r="L17" s="5">
        <v>2</v>
      </c>
      <c r="M17" s="5">
        <v>2</v>
      </c>
      <c r="N17" s="5">
        <v>2</v>
      </c>
      <c r="O17" s="5">
        <v>2</v>
      </c>
      <c r="P17" s="5">
        <v>2</v>
      </c>
      <c r="Q17" s="5">
        <v>2</v>
      </c>
      <c r="R17" s="5">
        <v>2</v>
      </c>
      <c r="S17" s="5">
        <v>2</v>
      </c>
      <c r="T17" s="5">
        <v>2</v>
      </c>
      <c r="U17" s="5">
        <v>2</v>
      </c>
      <c r="V17" s="5">
        <v>2</v>
      </c>
      <c r="W17" s="5">
        <v>2</v>
      </c>
      <c r="X17" s="84"/>
      <c r="Z17" s="207" cm="1">
        <f t="array" ref="Z17:AS17">ROUNDUP((fixed_calls_persecond_onnet_factor_noincoming/max_load)/as_software,0)*redundancy</f>
        <v>2</v>
      </c>
      <c r="AA17" s="5">
        <v>2</v>
      </c>
      <c r="AB17" s="5">
        <v>2</v>
      </c>
      <c r="AC17" s="5">
        <v>2</v>
      </c>
      <c r="AD17" s="5">
        <v>2</v>
      </c>
      <c r="AE17" s="5">
        <v>2</v>
      </c>
      <c r="AF17" s="5">
        <v>2</v>
      </c>
      <c r="AG17" s="5">
        <v>2</v>
      </c>
      <c r="AH17" s="5">
        <v>2</v>
      </c>
      <c r="AI17" s="5">
        <v>2</v>
      </c>
      <c r="AJ17" s="5">
        <v>2</v>
      </c>
      <c r="AK17" s="5">
        <v>2</v>
      </c>
      <c r="AL17" s="5">
        <v>2</v>
      </c>
      <c r="AM17" s="5">
        <v>2</v>
      </c>
      <c r="AN17" s="5">
        <v>2</v>
      </c>
      <c r="AO17" s="5">
        <v>2</v>
      </c>
      <c r="AP17" s="5">
        <v>2</v>
      </c>
      <c r="AQ17" s="5">
        <v>2</v>
      </c>
      <c r="AR17" s="5">
        <v>2</v>
      </c>
      <c r="AS17" s="5">
        <v>2</v>
      </c>
    </row>
    <row r="18" spans="1:49" x14ac:dyDescent="0.35">
      <c r="A18" s="7" t="s">
        <v>135</v>
      </c>
      <c r="B18" s="7" t="str">
        <f>'2 Dimensioning'!B42</f>
        <v>Call data records per hour (calls per hour)</v>
      </c>
      <c r="C18" s="17" t="s">
        <v>136</v>
      </c>
      <c r="D18" s="207" cm="1">
        <f t="array" ref="D18:W18">ROUNDUP((fixed_calls_per_hour/max_load)/cdf_hardware,0)*redundancy</f>
        <v>2</v>
      </c>
      <c r="E18" s="5">
        <v>2</v>
      </c>
      <c r="F18" s="5">
        <v>2</v>
      </c>
      <c r="G18" s="5">
        <v>2</v>
      </c>
      <c r="H18" s="5">
        <v>2</v>
      </c>
      <c r="I18" s="5">
        <v>2</v>
      </c>
      <c r="J18" s="5">
        <v>2</v>
      </c>
      <c r="K18" s="5">
        <v>2</v>
      </c>
      <c r="L18" s="5">
        <v>2</v>
      </c>
      <c r="M18" s="5">
        <v>2</v>
      </c>
      <c r="N18" s="5">
        <v>2</v>
      </c>
      <c r="O18" s="5">
        <v>2</v>
      </c>
      <c r="P18" s="5">
        <v>2</v>
      </c>
      <c r="Q18" s="5">
        <v>2</v>
      </c>
      <c r="R18" s="5">
        <v>2</v>
      </c>
      <c r="S18" s="5">
        <v>2</v>
      </c>
      <c r="T18" s="5">
        <v>2</v>
      </c>
      <c r="U18" s="5">
        <v>2</v>
      </c>
      <c r="V18" s="5">
        <v>2</v>
      </c>
      <c r="W18" s="5">
        <v>2</v>
      </c>
      <c r="Z18" s="207" cm="1">
        <f t="array" ref="Z18:AS18">ROUNDUP((fixed_calls_per_hour_noincoming/max_load)/cdf_hardware,0)*redundancy</f>
        <v>2</v>
      </c>
      <c r="AA18" s="5">
        <v>2</v>
      </c>
      <c r="AB18" s="5">
        <v>2</v>
      </c>
      <c r="AC18" s="5">
        <v>2</v>
      </c>
      <c r="AD18" s="5">
        <v>2</v>
      </c>
      <c r="AE18" s="5">
        <v>2</v>
      </c>
      <c r="AF18" s="5">
        <v>2</v>
      </c>
      <c r="AG18" s="5">
        <v>2</v>
      </c>
      <c r="AH18" s="5">
        <v>2</v>
      </c>
      <c r="AI18" s="5">
        <v>2</v>
      </c>
      <c r="AJ18" s="5">
        <v>2</v>
      </c>
      <c r="AK18" s="5">
        <v>2</v>
      </c>
      <c r="AL18" s="5">
        <v>2</v>
      </c>
      <c r="AM18" s="5">
        <v>2</v>
      </c>
      <c r="AN18" s="5">
        <v>2</v>
      </c>
      <c r="AO18" s="5">
        <v>2</v>
      </c>
      <c r="AP18" s="5">
        <v>2</v>
      </c>
      <c r="AQ18" s="5">
        <v>2</v>
      </c>
      <c r="AR18" s="5">
        <v>2</v>
      </c>
      <c r="AS18" s="5">
        <v>2</v>
      </c>
    </row>
    <row r="19" spans="1:49" x14ac:dyDescent="0.35">
      <c r="A19" s="7" t="s">
        <v>137</v>
      </c>
      <c r="B19" s="7" t="str">
        <f>'2 Dimensioning'!B43</f>
        <v>Call data records per hour (calls per hour)</v>
      </c>
      <c r="C19" s="17" t="s">
        <v>136</v>
      </c>
      <c r="D19" s="207" cm="1">
        <f t="array" ref="D19:W19">ROUNDUP((fixed_calls_per_hour/max_load)/cdf_software,0)*redundancy</f>
        <v>168</v>
      </c>
      <c r="E19" s="5">
        <v>134</v>
      </c>
      <c r="F19" s="5">
        <v>134</v>
      </c>
      <c r="G19" s="5">
        <v>122</v>
      </c>
      <c r="H19" s="5">
        <v>110</v>
      </c>
      <c r="I19" s="5">
        <v>100</v>
      </c>
      <c r="J19" s="5">
        <v>90</v>
      </c>
      <c r="K19" s="5">
        <v>82</v>
      </c>
      <c r="L19" s="5">
        <v>74</v>
      </c>
      <c r="M19" s="5">
        <v>68</v>
      </c>
      <c r="N19" s="5">
        <v>60</v>
      </c>
      <c r="O19" s="5">
        <v>56</v>
      </c>
      <c r="P19" s="5">
        <v>50</v>
      </c>
      <c r="Q19" s="5">
        <v>46</v>
      </c>
      <c r="R19" s="5">
        <v>42</v>
      </c>
      <c r="S19" s="5">
        <v>38</v>
      </c>
      <c r="T19" s="5">
        <v>34</v>
      </c>
      <c r="U19" s="5">
        <v>30</v>
      </c>
      <c r="V19" s="5">
        <v>28</v>
      </c>
      <c r="W19" s="5">
        <v>26</v>
      </c>
      <c r="X19" s="178"/>
      <c r="Y19" s="178"/>
      <c r="Z19" s="207" cm="1">
        <f t="array" ref="Z19:AS19">ROUNDUP((fixed_calls_per_hour_noincoming/max_load)/cdf_software,0)*redundancy</f>
        <v>124</v>
      </c>
      <c r="AA19" s="5">
        <v>94</v>
      </c>
      <c r="AB19" s="5">
        <v>94</v>
      </c>
      <c r="AC19" s="5">
        <v>86</v>
      </c>
      <c r="AD19" s="5">
        <v>78</v>
      </c>
      <c r="AE19" s="5">
        <v>70</v>
      </c>
      <c r="AF19" s="5">
        <v>64</v>
      </c>
      <c r="AG19" s="5">
        <v>58</v>
      </c>
      <c r="AH19" s="5">
        <v>52</v>
      </c>
      <c r="AI19" s="5">
        <v>48</v>
      </c>
      <c r="AJ19" s="5">
        <v>42</v>
      </c>
      <c r="AK19" s="5">
        <v>38</v>
      </c>
      <c r="AL19" s="5">
        <v>36</v>
      </c>
      <c r="AM19" s="5">
        <v>32</v>
      </c>
      <c r="AN19" s="5">
        <v>28</v>
      </c>
      <c r="AO19" s="5">
        <v>26</v>
      </c>
      <c r="AP19" s="5">
        <v>24</v>
      </c>
      <c r="AQ19" s="5">
        <v>22</v>
      </c>
      <c r="AR19" s="5">
        <v>20</v>
      </c>
      <c r="AS19" s="5">
        <v>18</v>
      </c>
    </row>
    <row r="20" spans="1:49" x14ac:dyDescent="0.35">
      <c r="A20" s="7" t="s">
        <v>138</v>
      </c>
      <c r="B20" s="7" t="str">
        <f>'2 Dimensioning'!B44</f>
        <v>Busy hour call attempts</v>
      </c>
      <c r="C20" s="17" t="s">
        <v>133</v>
      </c>
      <c r="D20" s="207" cm="1">
        <f t="array" ref="D20:W20">ROUNDUP((busy_hour_call_attempts/max_load)/proxy_cscf_hardware,0)*redundancy</f>
        <v>2</v>
      </c>
      <c r="E20" s="5">
        <v>2</v>
      </c>
      <c r="F20" s="5">
        <v>2</v>
      </c>
      <c r="G20" s="5">
        <v>2</v>
      </c>
      <c r="H20" s="5">
        <v>2</v>
      </c>
      <c r="I20" s="5">
        <v>2</v>
      </c>
      <c r="J20" s="5">
        <v>2</v>
      </c>
      <c r="K20" s="5">
        <v>2</v>
      </c>
      <c r="L20" s="5">
        <v>2</v>
      </c>
      <c r="M20" s="5">
        <v>2</v>
      </c>
      <c r="N20" s="5">
        <v>2</v>
      </c>
      <c r="O20" s="5">
        <v>2</v>
      </c>
      <c r="P20" s="5">
        <v>2</v>
      </c>
      <c r="Q20" s="5">
        <v>2</v>
      </c>
      <c r="R20" s="5">
        <v>2</v>
      </c>
      <c r="S20" s="5">
        <v>2</v>
      </c>
      <c r="T20" s="5">
        <v>2</v>
      </c>
      <c r="U20" s="5">
        <v>2</v>
      </c>
      <c r="V20" s="5">
        <v>2</v>
      </c>
      <c r="W20" s="5">
        <v>2</v>
      </c>
      <c r="X20" s="178"/>
      <c r="Y20" s="178"/>
      <c r="Z20" s="207" cm="1">
        <f t="array" ref="Z20:AS20">ROUNDUP((busy_hour_call_attempts_noincoming/max_load)/proxy_cscf_hardware,0)*redundancy</f>
        <v>2</v>
      </c>
      <c r="AA20" s="5">
        <v>2</v>
      </c>
      <c r="AB20" s="5">
        <v>2</v>
      </c>
      <c r="AC20" s="5">
        <v>2</v>
      </c>
      <c r="AD20" s="5">
        <v>2</v>
      </c>
      <c r="AE20" s="5">
        <v>2</v>
      </c>
      <c r="AF20" s="5">
        <v>2</v>
      </c>
      <c r="AG20" s="5">
        <v>2</v>
      </c>
      <c r="AH20" s="5">
        <v>2</v>
      </c>
      <c r="AI20" s="5">
        <v>2</v>
      </c>
      <c r="AJ20" s="5">
        <v>2</v>
      </c>
      <c r="AK20" s="5">
        <v>2</v>
      </c>
      <c r="AL20" s="5">
        <v>2</v>
      </c>
      <c r="AM20" s="5">
        <v>2</v>
      </c>
      <c r="AN20" s="5">
        <v>2</v>
      </c>
      <c r="AO20" s="5">
        <v>2</v>
      </c>
      <c r="AP20" s="5">
        <v>2</v>
      </c>
      <c r="AQ20" s="5">
        <v>2</v>
      </c>
      <c r="AR20" s="5">
        <v>2</v>
      </c>
      <c r="AS20" s="5">
        <v>2</v>
      </c>
    </row>
    <row r="21" spans="1:49" x14ac:dyDescent="0.35">
      <c r="A21" s="7" t="s">
        <v>139</v>
      </c>
      <c r="B21" s="7" t="str">
        <f>'2 Dimensioning'!B45</f>
        <v>Busy hour call attempts</v>
      </c>
      <c r="C21" s="17" t="s">
        <v>133</v>
      </c>
      <c r="D21" s="207" cm="1">
        <f t="array" ref="D21:W21">ROUNDUP((busy_hour_call_attempts/max_load)/proxy_cscf_software,0)*redundancy</f>
        <v>1714</v>
      </c>
      <c r="E21" s="5">
        <v>1374</v>
      </c>
      <c r="F21" s="5">
        <v>1370</v>
      </c>
      <c r="G21" s="5">
        <v>1250</v>
      </c>
      <c r="H21" s="5">
        <v>1130</v>
      </c>
      <c r="I21" s="5">
        <v>1022</v>
      </c>
      <c r="J21" s="5">
        <v>926</v>
      </c>
      <c r="K21" s="5">
        <v>836</v>
      </c>
      <c r="L21" s="5">
        <v>758</v>
      </c>
      <c r="M21" s="5">
        <v>684</v>
      </c>
      <c r="N21" s="5">
        <v>620</v>
      </c>
      <c r="O21" s="5">
        <v>560</v>
      </c>
      <c r="P21" s="5">
        <v>506</v>
      </c>
      <c r="Q21" s="5">
        <v>458</v>
      </c>
      <c r="R21" s="5">
        <v>414</v>
      </c>
      <c r="S21" s="5">
        <v>376</v>
      </c>
      <c r="T21" s="5">
        <v>340</v>
      </c>
      <c r="U21" s="5">
        <v>308</v>
      </c>
      <c r="V21" s="5">
        <v>278</v>
      </c>
      <c r="W21" s="5">
        <v>252</v>
      </c>
      <c r="X21" s="178"/>
      <c r="Y21" s="178"/>
      <c r="Z21" s="207" cm="1">
        <f t="array" ref="Z21:AS21">ROUNDUP((busy_hour_call_attempts_noincoming/max_load)/proxy_cscf_software,0)*redundancy</f>
        <v>1266</v>
      </c>
      <c r="AA21" s="5">
        <v>968</v>
      </c>
      <c r="AB21" s="5">
        <v>952</v>
      </c>
      <c r="AC21" s="5">
        <v>872</v>
      </c>
      <c r="AD21" s="5">
        <v>788</v>
      </c>
      <c r="AE21" s="5">
        <v>712</v>
      </c>
      <c r="AF21" s="5">
        <v>644</v>
      </c>
      <c r="AG21" s="5">
        <v>584</v>
      </c>
      <c r="AH21" s="5">
        <v>528</v>
      </c>
      <c r="AI21" s="5">
        <v>478</v>
      </c>
      <c r="AJ21" s="5">
        <v>432</v>
      </c>
      <c r="AK21" s="5">
        <v>390</v>
      </c>
      <c r="AL21" s="5">
        <v>354</v>
      </c>
      <c r="AM21" s="5">
        <v>320</v>
      </c>
      <c r="AN21" s="5">
        <v>290</v>
      </c>
      <c r="AO21" s="5">
        <v>262</v>
      </c>
      <c r="AP21" s="5">
        <v>236</v>
      </c>
      <c r="AQ21" s="5">
        <v>214</v>
      </c>
      <c r="AR21" s="5">
        <v>194</v>
      </c>
      <c r="AS21" s="5">
        <v>176</v>
      </c>
    </row>
    <row r="22" spans="1:49" x14ac:dyDescent="0.35">
      <c r="A22" s="7" t="s">
        <v>140</v>
      </c>
      <c r="B22" s="7" t="str">
        <f>'2 Dimensioning'!B46</f>
        <v>Busy hour call attempts</v>
      </c>
      <c r="C22" s="17" t="s">
        <v>133</v>
      </c>
      <c r="D22" s="207" cm="1">
        <f t="array" ref="D22:W22">ROUNDUP((busy_hour_call_attempts/max_load)/interr_cscf_hardware,0)*redundancy</f>
        <v>2</v>
      </c>
      <c r="E22" s="5">
        <v>2</v>
      </c>
      <c r="F22" s="5">
        <v>2</v>
      </c>
      <c r="G22" s="5">
        <v>2</v>
      </c>
      <c r="H22" s="5">
        <v>2</v>
      </c>
      <c r="I22" s="5">
        <v>2</v>
      </c>
      <c r="J22" s="5">
        <v>2</v>
      </c>
      <c r="K22" s="5">
        <v>2</v>
      </c>
      <c r="L22" s="5">
        <v>2</v>
      </c>
      <c r="M22" s="5">
        <v>2</v>
      </c>
      <c r="N22" s="5">
        <v>2</v>
      </c>
      <c r="O22" s="5">
        <v>2</v>
      </c>
      <c r="P22" s="5">
        <v>2</v>
      </c>
      <c r="Q22" s="5">
        <v>2</v>
      </c>
      <c r="R22" s="5">
        <v>2</v>
      </c>
      <c r="S22" s="5">
        <v>2</v>
      </c>
      <c r="T22" s="5">
        <v>2</v>
      </c>
      <c r="U22" s="5">
        <v>2</v>
      </c>
      <c r="V22" s="5">
        <v>2</v>
      </c>
      <c r="W22" s="5">
        <v>2</v>
      </c>
      <c r="Z22" s="207" cm="1">
        <f t="array" ref="Z22:AS22">ROUNDUP((busy_hour_call_attempts_noincoming/max_load)/interr_cscf_hardware,0)*redundancy</f>
        <v>2</v>
      </c>
      <c r="AA22" s="5">
        <v>2</v>
      </c>
      <c r="AB22" s="5">
        <v>2</v>
      </c>
      <c r="AC22" s="5">
        <v>2</v>
      </c>
      <c r="AD22" s="5">
        <v>2</v>
      </c>
      <c r="AE22" s="5">
        <v>2</v>
      </c>
      <c r="AF22" s="5">
        <v>2</v>
      </c>
      <c r="AG22" s="5">
        <v>2</v>
      </c>
      <c r="AH22" s="5">
        <v>2</v>
      </c>
      <c r="AI22" s="5">
        <v>2</v>
      </c>
      <c r="AJ22" s="5">
        <v>2</v>
      </c>
      <c r="AK22" s="5">
        <v>2</v>
      </c>
      <c r="AL22" s="5">
        <v>2</v>
      </c>
      <c r="AM22" s="5">
        <v>2</v>
      </c>
      <c r="AN22" s="5">
        <v>2</v>
      </c>
      <c r="AO22" s="5">
        <v>2</v>
      </c>
      <c r="AP22" s="5">
        <v>2</v>
      </c>
      <c r="AQ22" s="5">
        <v>2</v>
      </c>
      <c r="AR22" s="5">
        <v>2</v>
      </c>
      <c r="AS22" s="5">
        <v>2</v>
      </c>
    </row>
    <row r="23" spans="1:49" x14ac:dyDescent="0.35">
      <c r="A23" s="7" t="s">
        <v>141</v>
      </c>
      <c r="B23" s="7" t="str">
        <f>'2 Dimensioning'!B47</f>
        <v>Busy hour call attempts</v>
      </c>
      <c r="C23" s="17" t="s">
        <v>133</v>
      </c>
      <c r="D23" s="207" cm="1">
        <f t="array" ref="D23:W23">ROUNDUP((busy_hour_call_attempts/max_load)/interr_cscf_software,0)*redundancy</f>
        <v>1714</v>
      </c>
      <c r="E23" s="5">
        <v>1374</v>
      </c>
      <c r="F23" s="5">
        <v>1370</v>
      </c>
      <c r="G23" s="5">
        <v>1250</v>
      </c>
      <c r="H23" s="5">
        <v>1130</v>
      </c>
      <c r="I23" s="5">
        <v>1022</v>
      </c>
      <c r="J23" s="5">
        <v>926</v>
      </c>
      <c r="K23" s="5">
        <v>836</v>
      </c>
      <c r="L23" s="5">
        <v>758</v>
      </c>
      <c r="M23" s="5">
        <v>684</v>
      </c>
      <c r="N23" s="5">
        <v>620</v>
      </c>
      <c r="O23" s="5">
        <v>560</v>
      </c>
      <c r="P23" s="5">
        <v>506</v>
      </c>
      <c r="Q23" s="5">
        <v>458</v>
      </c>
      <c r="R23" s="5">
        <v>414</v>
      </c>
      <c r="S23" s="5">
        <v>376</v>
      </c>
      <c r="T23" s="5">
        <v>340</v>
      </c>
      <c r="U23" s="5">
        <v>308</v>
      </c>
      <c r="V23" s="5">
        <v>278</v>
      </c>
      <c r="W23" s="5">
        <v>252</v>
      </c>
      <c r="X23" s="80"/>
      <c r="Z23" s="207" cm="1">
        <f t="array" ref="Z23:AS23">ROUNDUP((busy_hour_call_attempts_noincoming/max_load)/interr_cscf_software,0)*redundancy</f>
        <v>1266</v>
      </c>
      <c r="AA23" s="5">
        <v>968</v>
      </c>
      <c r="AB23" s="5">
        <v>952</v>
      </c>
      <c r="AC23" s="5">
        <v>872</v>
      </c>
      <c r="AD23" s="5">
        <v>788</v>
      </c>
      <c r="AE23" s="5">
        <v>712</v>
      </c>
      <c r="AF23" s="5">
        <v>644</v>
      </c>
      <c r="AG23" s="5">
        <v>584</v>
      </c>
      <c r="AH23" s="5">
        <v>528</v>
      </c>
      <c r="AI23" s="5">
        <v>478</v>
      </c>
      <c r="AJ23" s="5">
        <v>432</v>
      </c>
      <c r="AK23" s="5">
        <v>390</v>
      </c>
      <c r="AL23" s="5">
        <v>354</v>
      </c>
      <c r="AM23" s="5">
        <v>320</v>
      </c>
      <c r="AN23" s="5">
        <v>290</v>
      </c>
      <c r="AO23" s="5">
        <v>262</v>
      </c>
      <c r="AP23" s="5">
        <v>236</v>
      </c>
      <c r="AQ23" s="5">
        <v>214</v>
      </c>
      <c r="AR23" s="5">
        <v>194</v>
      </c>
      <c r="AS23" s="5">
        <v>176</v>
      </c>
    </row>
    <row r="24" spans="1:49" x14ac:dyDescent="0.35">
      <c r="A24" s="7" t="s">
        <v>142</v>
      </c>
      <c r="B24" s="7" t="str">
        <f>'2 Dimensioning'!B48</f>
        <v>Busy hour call attempts</v>
      </c>
      <c r="C24" s="17" t="s">
        <v>133</v>
      </c>
      <c r="D24" s="207" cm="1">
        <f t="array" ref="D24:W24">ROUNDUP((busy_hour_call_attempts/max_load)/serve_cscf_hardware,0)*redundancy</f>
        <v>2</v>
      </c>
      <c r="E24" s="5">
        <v>2</v>
      </c>
      <c r="F24" s="5">
        <v>2</v>
      </c>
      <c r="G24" s="5">
        <v>2</v>
      </c>
      <c r="H24" s="5">
        <v>2</v>
      </c>
      <c r="I24" s="5">
        <v>2</v>
      </c>
      <c r="J24" s="5">
        <v>2</v>
      </c>
      <c r="K24" s="5">
        <v>2</v>
      </c>
      <c r="L24" s="5">
        <v>2</v>
      </c>
      <c r="M24" s="5">
        <v>2</v>
      </c>
      <c r="N24" s="5">
        <v>2</v>
      </c>
      <c r="O24" s="5">
        <v>2</v>
      </c>
      <c r="P24" s="5">
        <v>2</v>
      </c>
      <c r="Q24" s="5">
        <v>2</v>
      </c>
      <c r="R24" s="5">
        <v>2</v>
      </c>
      <c r="S24" s="5">
        <v>2</v>
      </c>
      <c r="T24" s="5">
        <v>2</v>
      </c>
      <c r="U24" s="5">
        <v>2</v>
      </c>
      <c r="V24" s="5">
        <v>2</v>
      </c>
      <c r="W24" s="5">
        <v>2</v>
      </c>
      <c r="X24" s="80"/>
      <c r="Z24" s="207" cm="1">
        <f t="array" ref="Z24:AS24">ROUNDUP((busy_hour_call_attempts_noincoming/max_load)/serve_cscf_hardware,0)*redundancy</f>
        <v>2</v>
      </c>
      <c r="AA24" s="5">
        <v>2</v>
      </c>
      <c r="AB24" s="5">
        <v>2</v>
      </c>
      <c r="AC24" s="5">
        <v>2</v>
      </c>
      <c r="AD24" s="5">
        <v>2</v>
      </c>
      <c r="AE24" s="5">
        <v>2</v>
      </c>
      <c r="AF24" s="5">
        <v>2</v>
      </c>
      <c r="AG24" s="5">
        <v>2</v>
      </c>
      <c r="AH24" s="5">
        <v>2</v>
      </c>
      <c r="AI24" s="5">
        <v>2</v>
      </c>
      <c r="AJ24" s="5">
        <v>2</v>
      </c>
      <c r="AK24" s="5">
        <v>2</v>
      </c>
      <c r="AL24" s="5">
        <v>2</v>
      </c>
      <c r="AM24" s="5">
        <v>2</v>
      </c>
      <c r="AN24" s="5">
        <v>2</v>
      </c>
      <c r="AO24" s="5">
        <v>2</v>
      </c>
      <c r="AP24" s="5">
        <v>2</v>
      </c>
      <c r="AQ24" s="5">
        <v>2</v>
      </c>
      <c r="AR24" s="5">
        <v>2</v>
      </c>
      <c r="AS24" s="5">
        <v>2</v>
      </c>
    </row>
    <row r="25" spans="1:49" x14ac:dyDescent="0.35">
      <c r="A25" s="7" t="s">
        <v>143</v>
      </c>
      <c r="B25" s="7" t="str">
        <f>'2 Dimensioning'!B49</f>
        <v>Busy hour call attempts</v>
      </c>
      <c r="C25" s="17" t="s">
        <v>133</v>
      </c>
      <c r="D25" s="207" cm="1">
        <f t="array" ref="D25:W25">ROUNDUP((busy_hour_call_attempts/max_load)/serve_cscf_software,0)*redundancy</f>
        <v>1714</v>
      </c>
      <c r="E25" s="5">
        <v>1374</v>
      </c>
      <c r="F25" s="5">
        <v>1370</v>
      </c>
      <c r="G25" s="5">
        <v>1250</v>
      </c>
      <c r="H25" s="5">
        <v>1130</v>
      </c>
      <c r="I25" s="5">
        <v>1022</v>
      </c>
      <c r="J25" s="5">
        <v>926</v>
      </c>
      <c r="K25" s="5">
        <v>836</v>
      </c>
      <c r="L25" s="5">
        <v>758</v>
      </c>
      <c r="M25" s="5">
        <v>684</v>
      </c>
      <c r="N25" s="5">
        <v>620</v>
      </c>
      <c r="O25" s="5">
        <v>560</v>
      </c>
      <c r="P25" s="5">
        <v>506</v>
      </c>
      <c r="Q25" s="5">
        <v>458</v>
      </c>
      <c r="R25" s="5">
        <v>414</v>
      </c>
      <c r="S25" s="5">
        <v>376</v>
      </c>
      <c r="T25" s="5">
        <v>340</v>
      </c>
      <c r="U25" s="5">
        <v>308</v>
      </c>
      <c r="V25" s="5">
        <v>278</v>
      </c>
      <c r="W25" s="5">
        <v>252</v>
      </c>
      <c r="Z25" s="207" cm="1">
        <f t="array" ref="Z25:AS25">ROUNDUP((busy_hour_call_attempts_noincoming/max_load)/serve_cscf_software,0)*redundancy</f>
        <v>1266</v>
      </c>
      <c r="AA25" s="5">
        <v>968</v>
      </c>
      <c r="AB25" s="5">
        <v>952</v>
      </c>
      <c r="AC25" s="5">
        <v>872</v>
      </c>
      <c r="AD25" s="5">
        <v>788</v>
      </c>
      <c r="AE25" s="5">
        <v>712</v>
      </c>
      <c r="AF25" s="5">
        <v>644</v>
      </c>
      <c r="AG25" s="5">
        <v>584</v>
      </c>
      <c r="AH25" s="5">
        <v>528</v>
      </c>
      <c r="AI25" s="5">
        <v>478</v>
      </c>
      <c r="AJ25" s="5">
        <v>432</v>
      </c>
      <c r="AK25" s="5">
        <v>390</v>
      </c>
      <c r="AL25" s="5">
        <v>354</v>
      </c>
      <c r="AM25" s="5">
        <v>320</v>
      </c>
      <c r="AN25" s="5">
        <v>290</v>
      </c>
      <c r="AO25" s="5">
        <v>262</v>
      </c>
      <c r="AP25" s="5">
        <v>236</v>
      </c>
      <c r="AQ25" s="5">
        <v>214</v>
      </c>
      <c r="AR25" s="5">
        <v>194</v>
      </c>
      <c r="AS25" s="5">
        <v>176</v>
      </c>
    </row>
    <row r="26" spans="1:49" x14ac:dyDescent="0.35">
      <c r="A26" s="7" t="s">
        <v>144</v>
      </c>
      <c r="B26" s="7" t="str">
        <f>'2 Dimensioning'!B50</f>
        <v xml:space="preserve">Concurrent sessions </v>
      </c>
      <c r="C26" s="17" t="s">
        <v>133</v>
      </c>
      <c r="D26" s="207" cm="1">
        <f t="array" ref="D26:W26">ROUNDUP((fixed_calls_persecond_onnet_factor/max_load)/mrf_hardware,0)*redundancy</f>
        <v>14</v>
      </c>
      <c r="E26" s="5">
        <v>12</v>
      </c>
      <c r="F26" s="5">
        <v>12</v>
      </c>
      <c r="G26" s="5">
        <v>10</v>
      </c>
      <c r="H26" s="5">
        <v>10</v>
      </c>
      <c r="I26" s="5">
        <v>8</v>
      </c>
      <c r="J26" s="5">
        <v>8</v>
      </c>
      <c r="K26" s="5">
        <v>8</v>
      </c>
      <c r="L26" s="5">
        <v>6</v>
      </c>
      <c r="M26" s="5">
        <v>6</v>
      </c>
      <c r="N26" s="5">
        <v>6</v>
      </c>
      <c r="O26" s="5">
        <v>6</v>
      </c>
      <c r="P26" s="5">
        <v>4</v>
      </c>
      <c r="Q26" s="5">
        <v>4</v>
      </c>
      <c r="R26" s="5">
        <v>4</v>
      </c>
      <c r="S26" s="5">
        <v>4</v>
      </c>
      <c r="T26" s="5">
        <v>4</v>
      </c>
      <c r="U26" s="5">
        <v>4</v>
      </c>
      <c r="V26" s="5">
        <v>4</v>
      </c>
      <c r="W26" s="5">
        <v>2</v>
      </c>
      <c r="Z26" s="207" cm="1">
        <f t="array" ref="Z26:AS26">ROUNDUP((fixed_calls_persecond_noincoming/max_load)/mrf_hardware,0)*redundancy</f>
        <v>10</v>
      </c>
      <c r="AA26" s="5">
        <v>8</v>
      </c>
      <c r="AB26" s="5">
        <v>8</v>
      </c>
      <c r="AC26" s="5">
        <v>6</v>
      </c>
      <c r="AD26" s="5">
        <v>6</v>
      </c>
      <c r="AE26" s="5">
        <v>6</v>
      </c>
      <c r="AF26" s="5">
        <v>6</v>
      </c>
      <c r="AG26" s="5">
        <v>4</v>
      </c>
      <c r="AH26" s="5">
        <v>4</v>
      </c>
      <c r="AI26" s="5">
        <v>4</v>
      </c>
      <c r="AJ26" s="5">
        <v>4</v>
      </c>
      <c r="AK26" s="5">
        <v>4</v>
      </c>
      <c r="AL26" s="5">
        <v>4</v>
      </c>
      <c r="AM26" s="5">
        <v>4</v>
      </c>
      <c r="AN26" s="5">
        <v>2</v>
      </c>
      <c r="AO26" s="5">
        <v>2</v>
      </c>
      <c r="AP26" s="5">
        <v>2</v>
      </c>
      <c r="AQ26" s="5">
        <v>2</v>
      </c>
      <c r="AR26" s="5">
        <v>2</v>
      </c>
      <c r="AS26" s="5">
        <v>2</v>
      </c>
    </row>
    <row r="27" spans="1:49" x14ac:dyDescent="0.35">
      <c r="A27" s="7" t="s">
        <v>145</v>
      </c>
      <c r="B27" s="7" t="str">
        <f>'2 Dimensioning'!B51</f>
        <v xml:space="preserve">Concurrent sessions </v>
      </c>
      <c r="C27" s="17" t="s">
        <v>133</v>
      </c>
      <c r="D27" s="207" cm="1">
        <f t="array" ref="D27:W27">ROUNDUP((fixed_calls_persecond_onnet_factor/max_load)/mrf_software,0)*redundancy</f>
        <v>142152</v>
      </c>
      <c r="E27" s="5">
        <v>114734</v>
      </c>
      <c r="F27" s="5">
        <v>112112</v>
      </c>
      <c r="G27" s="5">
        <v>101830</v>
      </c>
      <c r="H27" s="5">
        <v>92102</v>
      </c>
      <c r="I27" s="5">
        <v>83304</v>
      </c>
      <c r="J27" s="5">
        <v>75346</v>
      </c>
      <c r="K27" s="5">
        <v>68148</v>
      </c>
      <c r="L27" s="5">
        <v>61638</v>
      </c>
      <c r="M27" s="5">
        <v>55750</v>
      </c>
      <c r="N27" s="5">
        <v>50424</v>
      </c>
      <c r="O27" s="5">
        <v>45608</v>
      </c>
      <c r="P27" s="5">
        <v>41252</v>
      </c>
      <c r="Q27" s="5">
        <v>37310</v>
      </c>
      <c r="R27" s="5">
        <v>33746</v>
      </c>
      <c r="S27" s="5">
        <v>30522</v>
      </c>
      <c r="T27" s="5">
        <v>27606</v>
      </c>
      <c r="U27" s="5">
        <v>24970</v>
      </c>
      <c r="V27" s="5">
        <v>22584</v>
      </c>
      <c r="W27" s="5">
        <v>20428</v>
      </c>
      <c r="Z27" s="207" cm="1">
        <f t="array" ref="Z27:AS27">ROUNDUP((fixed_calls_persecond_onnet_factor_noincoming/max_load)/mrf_software,0)*redundancy</f>
        <v>110792</v>
      </c>
      <c r="AA27" s="5">
        <v>86366</v>
      </c>
      <c r="AB27" s="5">
        <v>82770</v>
      </c>
      <c r="AC27" s="5">
        <v>75300</v>
      </c>
      <c r="AD27" s="5">
        <v>68108</v>
      </c>
      <c r="AE27" s="5">
        <v>61602</v>
      </c>
      <c r="AF27" s="5">
        <v>55716</v>
      </c>
      <c r="AG27" s="5">
        <v>50394</v>
      </c>
      <c r="AH27" s="5">
        <v>45580</v>
      </c>
      <c r="AI27" s="5">
        <v>41226</v>
      </c>
      <c r="AJ27" s="5">
        <v>37288</v>
      </c>
      <c r="AK27" s="5">
        <v>33726</v>
      </c>
      <c r="AL27" s="5">
        <v>30504</v>
      </c>
      <c r="AM27" s="5">
        <v>27590</v>
      </c>
      <c r="AN27" s="5">
        <v>24954</v>
      </c>
      <c r="AO27" s="5">
        <v>22570</v>
      </c>
      <c r="AP27" s="5">
        <v>20414</v>
      </c>
      <c r="AQ27" s="5">
        <v>18464</v>
      </c>
      <c r="AR27" s="5">
        <v>16700</v>
      </c>
      <c r="AS27" s="5">
        <v>15106</v>
      </c>
    </row>
    <row r="28" spans="1:49" x14ac:dyDescent="0.35">
      <c r="A28" s="7" t="s">
        <v>146</v>
      </c>
      <c r="B28" s="7" t="str">
        <f>'2 Dimensioning'!B52</f>
        <v xml:space="preserve">Concurrent sessions </v>
      </c>
      <c r="C28" s="17" t="s">
        <v>133</v>
      </c>
      <c r="D28" s="207" cm="1">
        <f t="array" ref="D28:W28">ROUNDUP((fixed_calls_persecond_onnet_factor/max_load)/access_sbc_hardware,0)*redundancy</f>
        <v>6</v>
      </c>
      <c r="E28" s="5">
        <v>4</v>
      </c>
      <c r="F28" s="5">
        <v>4</v>
      </c>
      <c r="G28" s="5">
        <v>4</v>
      </c>
      <c r="H28" s="5">
        <v>4</v>
      </c>
      <c r="I28" s="5">
        <v>4</v>
      </c>
      <c r="J28" s="5">
        <v>4</v>
      </c>
      <c r="K28" s="5">
        <v>4</v>
      </c>
      <c r="L28" s="5">
        <v>2</v>
      </c>
      <c r="M28" s="5">
        <v>2</v>
      </c>
      <c r="N28" s="5">
        <v>2</v>
      </c>
      <c r="O28" s="5">
        <v>2</v>
      </c>
      <c r="P28" s="5">
        <v>2</v>
      </c>
      <c r="Q28" s="5">
        <v>2</v>
      </c>
      <c r="R28" s="5">
        <v>2</v>
      </c>
      <c r="S28" s="5">
        <v>2</v>
      </c>
      <c r="T28" s="5">
        <v>2</v>
      </c>
      <c r="U28" s="5">
        <v>2</v>
      </c>
      <c r="V28" s="5">
        <v>2</v>
      </c>
      <c r="W28" s="5">
        <v>2</v>
      </c>
      <c r="Z28" s="207" cm="1">
        <f t="array" ref="Z28:AS28">ROUNDUP((fixed_calls_persecond_onnet_factor_noincoming/max_load)/access_sbc_hardware,0)*redundancy</f>
        <v>4</v>
      </c>
      <c r="AA28" s="5">
        <v>4</v>
      </c>
      <c r="AB28" s="5">
        <v>4</v>
      </c>
      <c r="AC28" s="5">
        <v>4</v>
      </c>
      <c r="AD28" s="5">
        <v>4</v>
      </c>
      <c r="AE28" s="5">
        <v>2</v>
      </c>
      <c r="AF28" s="5">
        <v>2</v>
      </c>
      <c r="AG28" s="5">
        <v>2</v>
      </c>
      <c r="AH28" s="5">
        <v>2</v>
      </c>
      <c r="AI28" s="5">
        <v>2</v>
      </c>
      <c r="AJ28" s="5">
        <v>2</v>
      </c>
      <c r="AK28" s="5">
        <v>2</v>
      </c>
      <c r="AL28" s="5">
        <v>2</v>
      </c>
      <c r="AM28" s="5">
        <v>2</v>
      </c>
      <c r="AN28" s="5">
        <v>2</v>
      </c>
      <c r="AO28" s="5">
        <v>2</v>
      </c>
      <c r="AP28" s="5">
        <v>2</v>
      </c>
      <c r="AQ28" s="5">
        <v>2</v>
      </c>
      <c r="AR28" s="5">
        <v>2</v>
      </c>
      <c r="AS28" s="5">
        <v>2</v>
      </c>
    </row>
    <row r="29" spans="1:49" x14ac:dyDescent="0.35">
      <c r="A29" s="7" t="s">
        <v>147</v>
      </c>
      <c r="B29" s="7" t="str">
        <f>'2 Dimensioning'!B53</f>
        <v xml:space="preserve">Concurrent sessions </v>
      </c>
      <c r="C29" s="17" t="s">
        <v>133</v>
      </c>
      <c r="D29" s="207" cm="1">
        <f t="array" ref="D29:W29">ROUNDUP((fixed_calls_persecond_onnet_factor/max_load)/access_sbc_software,0)*redundancy</f>
        <v>10</v>
      </c>
      <c r="E29" s="5">
        <v>8</v>
      </c>
      <c r="F29" s="5">
        <v>8</v>
      </c>
      <c r="G29" s="5">
        <v>8</v>
      </c>
      <c r="H29" s="5">
        <v>6</v>
      </c>
      <c r="I29" s="5">
        <v>6</v>
      </c>
      <c r="J29" s="5">
        <v>6</v>
      </c>
      <c r="K29" s="5">
        <v>6</v>
      </c>
      <c r="L29" s="5">
        <v>4</v>
      </c>
      <c r="M29" s="5">
        <v>4</v>
      </c>
      <c r="N29" s="5">
        <v>4</v>
      </c>
      <c r="O29" s="5">
        <v>4</v>
      </c>
      <c r="P29" s="5">
        <v>4</v>
      </c>
      <c r="Q29" s="5">
        <v>4</v>
      </c>
      <c r="R29" s="5">
        <v>4</v>
      </c>
      <c r="S29" s="5">
        <v>2</v>
      </c>
      <c r="T29" s="5">
        <v>2</v>
      </c>
      <c r="U29" s="5">
        <v>2</v>
      </c>
      <c r="V29" s="5">
        <v>2</v>
      </c>
      <c r="W29" s="5">
        <v>2</v>
      </c>
      <c r="Z29" s="207" cm="1">
        <f t="array" ref="Z29:AS29">ROUNDUP((fixed_calls_persecond_onnet_factor_noincoming/max_load)/access_sbc_software,0)*redundancy</f>
        <v>8</v>
      </c>
      <c r="AA29" s="5">
        <v>6</v>
      </c>
      <c r="AB29" s="5">
        <v>6</v>
      </c>
      <c r="AC29" s="5">
        <v>6</v>
      </c>
      <c r="AD29" s="5">
        <v>6</v>
      </c>
      <c r="AE29" s="5">
        <v>4</v>
      </c>
      <c r="AF29" s="5">
        <v>4</v>
      </c>
      <c r="AG29" s="5">
        <v>4</v>
      </c>
      <c r="AH29" s="5">
        <v>4</v>
      </c>
      <c r="AI29" s="5">
        <v>4</v>
      </c>
      <c r="AJ29" s="5">
        <v>4</v>
      </c>
      <c r="AK29" s="5">
        <v>4</v>
      </c>
      <c r="AL29" s="5">
        <v>2</v>
      </c>
      <c r="AM29" s="5">
        <v>2</v>
      </c>
      <c r="AN29" s="5">
        <v>2</v>
      </c>
      <c r="AO29" s="5">
        <v>2</v>
      </c>
      <c r="AP29" s="5">
        <v>2</v>
      </c>
      <c r="AQ29" s="5">
        <v>2</v>
      </c>
      <c r="AR29" s="5">
        <v>2</v>
      </c>
      <c r="AS29" s="5">
        <v>2</v>
      </c>
    </row>
    <row r="30" spans="1:49" x14ac:dyDescent="0.35">
      <c r="A30" s="7" t="s">
        <v>148</v>
      </c>
      <c r="B30" s="7" t="str">
        <f>'2 Dimensioning'!B54</f>
        <v xml:space="preserve">Concurrent sessions </v>
      </c>
      <c r="C30" s="17" t="s">
        <v>136</v>
      </c>
      <c r="D30" s="207" cm="1">
        <f t="array" ref="D30:W30">ROUNDUP((fixed_calls_persecond/max_load)/ix_sbc_hardware,0)*redundancy</f>
        <v>4</v>
      </c>
      <c r="E30" s="5">
        <v>4</v>
      </c>
      <c r="F30" s="5">
        <v>4</v>
      </c>
      <c r="G30" s="5">
        <v>4</v>
      </c>
      <c r="H30" s="5">
        <v>4</v>
      </c>
      <c r="I30" s="5">
        <v>4</v>
      </c>
      <c r="J30" s="5">
        <v>4</v>
      </c>
      <c r="K30" s="5">
        <v>2</v>
      </c>
      <c r="L30" s="5">
        <v>2</v>
      </c>
      <c r="M30" s="5">
        <v>2</v>
      </c>
      <c r="N30" s="5">
        <v>2</v>
      </c>
      <c r="O30" s="5">
        <v>2</v>
      </c>
      <c r="P30" s="5">
        <v>2</v>
      </c>
      <c r="Q30" s="5">
        <v>2</v>
      </c>
      <c r="R30" s="5">
        <v>2</v>
      </c>
      <c r="S30" s="5">
        <v>2</v>
      </c>
      <c r="T30" s="5">
        <v>2</v>
      </c>
      <c r="U30" s="5">
        <v>2</v>
      </c>
      <c r="V30" s="5">
        <v>2</v>
      </c>
      <c r="W30" s="5">
        <v>2</v>
      </c>
      <c r="Z30" s="207" cm="1">
        <f t="array" ref="Z30:AS30">ROUNDUP((fixed_calls_persecond_noincoming/max_load)/ix_sbc_hardware,0)*redundancy</f>
        <v>4</v>
      </c>
      <c r="AA30" s="5">
        <v>4</v>
      </c>
      <c r="AB30" s="5">
        <v>4</v>
      </c>
      <c r="AC30" s="5">
        <v>2</v>
      </c>
      <c r="AD30" s="5">
        <v>2</v>
      </c>
      <c r="AE30" s="5">
        <v>2</v>
      </c>
      <c r="AF30" s="5">
        <v>2</v>
      </c>
      <c r="AG30" s="5">
        <v>2</v>
      </c>
      <c r="AH30" s="5">
        <v>2</v>
      </c>
      <c r="AI30" s="5">
        <v>2</v>
      </c>
      <c r="AJ30" s="5">
        <v>2</v>
      </c>
      <c r="AK30" s="5">
        <v>2</v>
      </c>
      <c r="AL30" s="5">
        <v>2</v>
      </c>
      <c r="AM30" s="5">
        <v>2</v>
      </c>
      <c r="AN30" s="5">
        <v>2</v>
      </c>
      <c r="AO30" s="5">
        <v>2</v>
      </c>
      <c r="AP30" s="5">
        <v>2</v>
      </c>
      <c r="AQ30" s="5">
        <v>2</v>
      </c>
      <c r="AR30" s="5">
        <v>2</v>
      </c>
      <c r="AS30" s="5">
        <v>2</v>
      </c>
    </row>
    <row r="31" spans="1:49" x14ac:dyDescent="0.35">
      <c r="A31" s="7" t="s">
        <v>149</v>
      </c>
      <c r="B31" s="7" t="str">
        <f>'2 Dimensioning'!B55</f>
        <v xml:space="preserve">Concurrent sessions </v>
      </c>
      <c r="C31" s="17" t="s">
        <v>136</v>
      </c>
      <c r="D31" s="207" cm="1">
        <f t="array" ref="D31:W31">ROUNDUP((fixed_calls_persecond/max_load)/ix_sbc_software,0)*redundancy</f>
        <v>8</v>
      </c>
      <c r="E31" s="5">
        <v>8</v>
      </c>
      <c r="F31" s="5">
        <v>6</v>
      </c>
      <c r="G31" s="5">
        <v>6</v>
      </c>
      <c r="H31" s="5">
        <v>6</v>
      </c>
      <c r="I31" s="5">
        <v>6</v>
      </c>
      <c r="J31" s="5">
        <v>6</v>
      </c>
      <c r="K31" s="5">
        <v>4</v>
      </c>
      <c r="L31" s="5">
        <v>4</v>
      </c>
      <c r="M31" s="5">
        <v>4</v>
      </c>
      <c r="N31" s="5">
        <v>4</v>
      </c>
      <c r="O31" s="5">
        <v>4</v>
      </c>
      <c r="P31" s="5">
        <v>4</v>
      </c>
      <c r="Q31" s="5">
        <v>4</v>
      </c>
      <c r="R31" s="5">
        <v>2</v>
      </c>
      <c r="S31" s="5">
        <v>2</v>
      </c>
      <c r="T31" s="5">
        <v>2</v>
      </c>
      <c r="U31" s="5">
        <v>2</v>
      </c>
      <c r="V31" s="5">
        <v>2</v>
      </c>
      <c r="W31" s="5">
        <v>2</v>
      </c>
      <c r="Z31" s="207" cm="1">
        <f t="array" ref="Z31:AS31">ROUNDUP((fixed_calls_persecond_noincoming/max_load)/ix_sbc_software,0)*redundancy</f>
        <v>6</v>
      </c>
      <c r="AA31" s="5">
        <v>6</v>
      </c>
      <c r="AB31" s="5">
        <v>6</v>
      </c>
      <c r="AC31" s="5">
        <v>4</v>
      </c>
      <c r="AD31" s="5">
        <v>4</v>
      </c>
      <c r="AE31" s="5">
        <v>4</v>
      </c>
      <c r="AF31" s="5">
        <v>4</v>
      </c>
      <c r="AG31" s="5">
        <v>4</v>
      </c>
      <c r="AH31" s="5">
        <v>4</v>
      </c>
      <c r="AI31" s="5">
        <v>4</v>
      </c>
      <c r="AJ31" s="5">
        <v>2</v>
      </c>
      <c r="AK31" s="5">
        <v>2</v>
      </c>
      <c r="AL31" s="5">
        <v>2</v>
      </c>
      <c r="AM31" s="5">
        <v>2</v>
      </c>
      <c r="AN31" s="5">
        <v>2</v>
      </c>
      <c r="AO31" s="5">
        <v>2</v>
      </c>
      <c r="AP31" s="5">
        <v>2</v>
      </c>
      <c r="AQ31" s="5">
        <v>2</v>
      </c>
      <c r="AR31" s="5">
        <v>2</v>
      </c>
      <c r="AS31" s="5">
        <v>2</v>
      </c>
      <c r="AW31" s="114"/>
    </row>
    <row r="32" spans="1:49" x14ac:dyDescent="0.35">
      <c r="A32" s="15" t="s">
        <v>150</v>
      </c>
      <c r="C32" s="15"/>
    </row>
    <row r="33" spans="1:67" x14ac:dyDescent="0.35">
      <c r="B33" s="15"/>
      <c r="C33" s="15"/>
      <c r="D33" s="15"/>
      <c r="Z33" s="15"/>
    </row>
    <row r="34" spans="1:67" x14ac:dyDescent="0.35">
      <c r="A34" s="12" t="s">
        <v>151</v>
      </c>
      <c r="B34" s="15"/>
      <c r="C34" s="15"/>
      <c r="D34" s="15"/>
      <c r="Z34" s="15"/>
    </row>
    <row r="35" spans="1:67" x14ac:dyDescent="0.35">
      <c r="B35" s="15"/>
      <c r="C35" s="15"/>
      <c r="D35" s="15"/>
      <c r="Z35" s="15"/>
    </row>
    <row r="36" spans="1:67" x14ac:dyDescent="0.35">
      <c r="A36" s="92" t="s">
        <v>362</v>
      </c>
      <c r="C36" s="15"/>
      <c r="D36" s="15"/>
      <c r="Z36" s="15"/>
    </row>
    <row r="37" spans="1:67" x14ac:dyDescent="0.35">
      <c r="B37" s="15"/>
      <c r="C37" s="15"/>
      <c r="D37" s="15"/>
      <c r="Z37" s="15"/>
    </row>
    <row r="38" spans="1:67" x14ac:dyDescent="0.35">
      <c r="A38" s="12" t="s">
        <v>367</v>
      </c>
      <c r="B38" s="15"/>
      <c r="C38" s="15"/>
      <c r="D38" s="15"/>
      <c r="Z38" s="15"/>
    </row>
    <row r="40" spans="1:67" x14ac:dyDescent="0.35">
      <c r="D40" s="48" t="s">
        <v>97</v>
      </c>
      <c r="E40" s="49"/>
      <c r="F40" s="49"/>
      <c r="G40" s="49"/>
      <c r="H40" s="49"/>
      <c r="I40" s="49"/>
      <c r="J40" s="49"/>
      <c r="K40" s="49"/>
      <c r="L40" s="49"/>
      <c r="M40" s="49"/>
      <c r="N40" s="49"/>
      <c r="O40" s="49"/>
      <c r="P40" s="49"/>
      <c r="Q40" s="49"/>
      <c r="R40" s="49"/>
      <c r="S40" s="49"/>
      <c r="T40" s="49"/>
      <c r="U40" s="49"/>
      <c r="V40" s="49"/>
      <c r="W40" s="49"/>
      <c r="Z40" s="48" t="s">
        <v>127</v>
      </c>
      <c r="AA40" s="49"/>
      <c r="AB40" s="49"/>
      <c r="AC40" s="49"/>
      <c r="AD40" s="49"/>
      <c r="AE40" s="49"/>
      <c r="AF40" s="49"/>
      <c r="AG40" s="49"/>
      <c r="AH40" s="49"/>
      <c r="AI40" s="49"/>
      <c r="AJ40" s="49"/>
      <c r="AK40" s="49"/>
      <c r="AL40" s="49"/>
      <c r="AM40" s="49"/>
      <c r="AN40" s="49"/>
      <c r="AO40" s="49"/>
      <c r="AP40" s="49"/>
      <c r="AQ40" s="49"/>
      <c r="AR40" s="49"/>
      <c r="AS40" s="49"/>
      <c r="AV40" s="48" t="s">
        <v>375</v>
      </c>
      <c r="AW40" s="49"/>
      <c r="AX40" s="49"/>
      <c r="AY40" s="49"/>
      <c r="AZ40" s="49"/>
      <c r="BA40" s="49"/>
      <c r="BB40" s="49"/>
      <c r="BC40" s="49"/>
      <c r="BD40" s="49"/>
      <c r="BE40" s="49"/>
      <c r="BF40" s="49"/>
      <c r="BG40" s="49"/>
      <c r="BH40" s="49"/>
      <c r="BI40" s="49"/>
      <c r="BJ40" s="49"/>
      <c r="BK40" s="49"/>
      <c r="BL40" s="49"/>
      <c r="BM40" s="49"/>
      <c r="BN40" s="49"/>
      <c r="BO40" s="49"/>
    </row>
    <row r="41" spans="1:67" x14ac:dyDescent="0.35">
      <c r="B41" s="15"/>
      <c r="C41" s="15"/>
      <c r="D41" s="12">
        <v>1</v>
      </c>
      <c r="E41" s="12">
        <v>2</v>
      </c>
      <c r="F41" s="12">
        <v>3</v>
      </c>
      <c r="G41" s="12">
        <v>4</v>
      </c>
      <c r="H41" s="12">
        <v>5</v>
      </c>
      <c r="I41" s="12">
        <v>6</v>
      </c>
      <c r="J41" s="12">
        <v>7</v>
      </c>
      <c r="K41" s="12">
        <v>8</v>
      </c>
      <c r="L41" s="12">
        <v>9</v>
      </c>
      <c r="M41" s="12">
        <v>10</v>
      </c>
      <c r="N41" s="12">
        <v>11</v>
      </c>
      <c r="O41" s="12">
        <v>12</v>
      </c>
      <c r="P41" s="12">
        <v>13</v>
      </c>
      <c r="Q41" s="12">
        <v>14</v>
      </c>
      <c r="R41" s="12">
        <v>15</v>
      </c>
      <c r="S41" s="12">
        <v>16</v>
      </c>
      <c r="T41" s="12">
        <v>17</v>
      </c>
      <c r="U41" s="12">
        <v>18</v>
      </c>
      <c r="V41" s="12">
        <v>19</v>
      </c>
      <c r="W41" s="12">
        <v>20</v>
      </c>
      <c r="Z41" s="18" cm="1">
        <f t="array" ref="Z41:AS41">time_index</f>
        <v>1</v>
      </c>
      <c r="AA41">
        <v>2</v>
      </c>
      <c r="AB41" s="12">
        <v>3</v>
      </c>
      <c r="AC41" s="12">
        <v>4</v>
      </c>
      <c r="AD41" s="12">
        <v>5</v>
      </c>
      <c r="AE41" s="12">
        <v>6</v>
      </c>
      <c r="AF41" s="12">
        <v>7</v>
      </c>
      <c r="AG41" s="12">
        <v>8</v>
      </c>
      <c r="AH41" s="12">
        <v>9</v>
      </c>
      <c r="AI41" s="12">
        <v>10</v>
      </c>
      <c r="AJ41" s="12">
        <v>11</v>
      </c>
      <c r="AK41" s="12">
        <v>12</v>
      </c>
      <c r="AL41" s="12">
        <v>13</v>
      </c>
      <c r="AM41" s="12">
        <v>14</v>
      </c>
      <c r="AN41" s="12">
        <v>15</v>
      </c>
      <c r="AO41" s="12">
        <v>16</v>
      </c>
      <c r="AP41" s="12">
        <v>17</v>
      </c>
      <c r="AQ41" s="12">
        <v>18</v>
      </c>
      <c r="AR41" s="12">
        <v>19</v>
      </c>
      <c r="AS41" s="12">
        <v>20</v>
      </c>
      <c r="AV41" s="18" cm="1">
        <f t="array" ref="AV41:BO41">time_index</f>
        <v>1</v>
      </c>
      <c r="AW41">
        <v>2</v>
      </c>
      <c r="AX41" s="12">
        <v>3</v>
      </c>
      <c r="AY41" s="12">
        <v>4</v>
      </c>
      <c r="AZ41" s="12">
        <v>5</v>
      </c>
      <c r="BA41" s="12">
        <v>6</v>
      </c>
      <c r="BB41" s="12">
        <v>7</v>
      </c>
      <c r="BC41" s="12">
        <v>8</v>
      </c>
      <c r="BD41" s="12">
        <v>9</v>
      </c>
      <c r="BE41" s="12">
        <v>10</v>
      </c>
      <c r="BF41" s="12">
        <v>11</v>
      </c>
      <c r="BG41" s="12">
        <v>12</v>
      </c>
      <c r="BH41" s="12">
        <v>13</v>
      </c>
      <c r="BI41" s="12">
        <v>14</v>
      </c>
      <c r="BJ41" s="12">
        <v>15</v>
      </c>
      <c r="BK41" s="12">
        <v>16</v>
      </c>
      <c r="BL41" s="12">
        <v>17</v>
      </c>
      <c r="BM41" s="12">
        <v>18</v>
      </c>
      <c r="BN41" s="12">
        <v>19</v>
      </c>
      <c r="BO41" s="12">
        <v>20</v>
      </c>
    </row>
    <row r="42" spans="1:67" ht="29" x14ac:dyDescent="0.35">
      <c r="A42" s="129"/>
      <c r="C42" s="56" t="s">
        <v>152</v>
      </c>
      <c r="D42" s="52" cm="1">
        <f t="array" ref="D42:W42">years</f>
        <v>2018</v>
      </c>
      <c r="E42" s="52">
        <v>2019</v>
      </c>
      <c r="F42" s="52">
        <v>2020</v>
      </c>
      <c r="G42" s="52">
        <v>2021</v>
      </c>
      <c r="H42" s="52">
        <v>2022</v>
      </c>
      <c r="I42" s="52">
        <v>2023</v>
      </c>
      <c r="J42" s="52">
        <v>2024</v>
      </c>
      <c r="K42" s="52">
        <v>2025</v>
      </c>
      <c r="L42" s="52">
        <v>2026</v>
      </c>
      <c r="M42" s="52">
        <v>2027</v>
      </c>
      <c r="N42" s="52">
        <v>2028</v>
      </c>
      <c r="O42" s="52">
        <v>2029</v>
      </c>
      <c r="P42" s="52">
        <v>2030</v>
      </c>
      <c r="Q42" s="52">
        <v>2031</v>
      </c>
      <c r="R42" s="52">
        <v>2032</v>
      </c>
      <c r="S42" s="52">
        <v>2033</v>
      </c>
      <c r="T42" s="52">
        <v>2034</v>
      </c>
      <c r="U42" s="52">
        <v>2035</v>
      </c>
      <c r="V42" s="52">
        <v>2036</v>
      </c>
      <c r="W42" s="52">
        <v>2037</v>
      </c>
      <c r="Z42" s="229" cm="1">
        <f t="array" ref="Z42:AS42">years</f>
        <v>2018</v>
      </c>
      <c r="AA42" s="53">
        <v>2019</v>
      </c>
      <c r="AB42" s="52">
        <v>2020</v>
      </c>
      <c r="AC42" s="52">
        <v>2021</v>
      </c>
      <c r="AD42" s="52">
        <v>2022</v>
      </c>
      <c r="AE42" s="52">
        <v>2023</v>
      </c>
      <c r="AF42" s="52">
        <v>2024</v>
      </c>
      <c r="AG42" s="52">
        <v>2025</v>
      </c>
      <c r="AH42" s="52">
        <v>2026</v>
      </c>
      <c r="AI42" s="52">
        <v>2027</v>
      </c>
      <c r="AJ42" s="52">
        <v>2028</v>
      </c>
      <c r="AK42" s="52">
        <v>2029</v>
      </c>
      <c r="AL42" s="52">
        <v>2030</v>
      </c>
      <c r="AM42" s="52">
        <v>2031</v>
      </c>
      <c r="AN42" s="52">
        <v>2032</v>
      </c>
      <c r="AO42" s="52">
        <v>2033</v>
      </c>
      <c r="AP42" s="52">
        <v>2034</v>
      </c>
      <c r="AQ42" s="52">
        <v>2035</v>
      </c>
      <c r="AR42" s="52">
        <v>2036</v>
      </c>
      <c r="AS42" s="52">
        <v>2037</v>
      </c>
      <c r="AV42" s="208" cm="1">
        <f t="array" ref="AV42:BO42">years</f>
        <v>2018</v>
      </c>
      <c r="AW42" s="209">
        <v>2019</v>
      </c>
      <c r="AX42" s="198">
        <v>2020</v>
      </c>
      <c r="AY42" s="198">
        <v>2021</v>
      </c>
      <c r="AZ42" s="198">
        <v>2022</v>
      </c>
      <c r="BA42" s="198">
        <v>2023</v>
      </c>
      <c r="BB42" s="198">
        <v>2024</v>
      </c>
      <c r="BC42" s="198">
        <v>2025</v>
      </c>
      <c r="BD42" s="198">
        <v>2026</v>
      </c>
      <c r="BE42" s="198">
        <v>2027</v>
      </c>
      <c r="BF42" s="198">
        <v>2028</v>
      </c>
      <c r="BG42" s="198">
        <v>2029</v>
      </c>
      <c r="BH42" s="198">
        <v>2030</v>
      </c>
      <c r="BI42" s="198">
        <v>2031</v>
      </c>
      <c r="BJ42" s="198">
        <v>2032</v>
      </c>
      <c r="BK42" s="198">
        <v>2033</v>
      </c>
      <c r="BL42" s="198">
        <v>2034</v>
      </c>
      <c r="BM42" s="198">
        <v>2035</v>
      </c>
      <c r="BN42" s="198">
        <v>2036</v>
      </c>
      <c r="BO42" s="198">
        <v>2037</v>
      </c>
    </row>
    <row r="43" spans="1:67" x14ac:dyDescent="0.35">
      <c r="A43" s="7" t="str" cm="1">
        <f t="array" ref="A43:A58">core_elements</f>
        <v>Application server hardware</v>
      </c>
      <c r="C43" s="9">
        <v>8</v>
      </c>
      <c r="D43" s="26">
        <f>D16</f>
        <v>2</v>
      </c>
      <c r="E43" s="26">
        <f>MAX(E16-D87,0)</f>
        <v>0</v>
      </c>
      <c r="F43" s="26">
        <f t="shared" ref="F43:W43" si="0">MAX(F16-E87,0)</f>
        <v>0</v>
      </c>
      <c r="G43" s="26">
        <f t="shared" si="0"/>
        <v>0</v>
      </c>
      <c r="H43" s="26">
        <f t="shared" si="0"/>
        <v>0</v>
      </c>
      <c r="I43" s="26">
        <f t="shared" si="0"/>
        <v>0</v>
      </c>
      <c r="J43" s="26">
        <f t="shared" si="0"/>
        <v>0</v>
      </c>
      <c r="K43" s="26">
        <f t="shared" si="0"/>
        <v>0</v>
      </c>
      <c r="L43" s="26">
        <f t="shared" si="0"/>
        <v>2</v>
      </c>
      <c r="M43" s="26">
        <f t="shared" si="0"/>
        <v>0</v>
      </c>
      <c r="N43" s="26">
        <f t="shared" si="0"/>
        <v>0</v>
      </c>
      <c r="O43" s="26">
        <f t="shared" si="0"/>
        <v>0</v>
      </c>
      <c r="P43" s="26">
        <f t="shared" si="0"/>
        <v>0</v>
      </c>
      <c r="Q43" s="26">
        <f t="shared" si="0"/>
        <v>0</v>
      </c>
      <c r="R43" s="26">
        <f t="shared" si="0"/>
        <v>0</v>
      </c>
      <c r="S43" s="26">
        <f t="shared" si="0"/>
        <v>0</v>
      </c>
      <c r="T43" s="26">
        <f t="shared" si="0"/>
        <v>2</v>
      </c>
      <c r="U43" s="26">
        <f t="shared" si="0"/>
        <v>0</v>
      </c>
      <c r="V43" s="26">
        <f t="shared" si="0"/>
        <v>0</v>
      </c>
      <c r="W43" s="26">
        <f t="shared" si="0"/>
        <v>0</v>
      </c>
      <c r="Z43" s="26">
        <f>Z16</f>
        <v>2</v>
      </c>
      <c r="AA43" s="26">
        <f t="shared" ref="AA43:AS43" si="1">MAX(AA16-Z87,0)</f>
        <v>0</v>
      </c>
      <c r="AB43" s="26">
        <f t="shared" si="1"/>
        <v>0</v>
      </c>
      <c r="AC43" s="26">
        <f t="shared" si="1"/>
        <v>0</v>
      </c>
      <c r="AD43" s="26">
        <f t="shared" si="1"/>
        <v>0</v>
      </c>
      <c r="AE43" s="26">
        <f t="shared" si="1"/>
        <v>0</v>
      </c>
      <c r="AF43" s="26">
        <f t="shared" si="1"/>
        <v>0</v>
      </c>
      <c r="AG43" s="26">
        <f t="shared" si="1"/>
        <v>0</v>
      </c>
      <c r="AH43" s="26">
        <f t="shared" si="1"/>
        <v>2</v>
      </c>
      <c r="AI43" s="26">
        <f t="shared" si="1"/>
        <v>0</v>
      </c>
      <c r="AJ43" s="26">
        <f t="shared" si="1"/>
        <v>0</v>
      </c>
      <c r="AK43" s="26">
        <f t="shared" si="1"/>
        <v>0</v>
      </c>
      <c r="AL43" s="26">
        <f t="shared" si="1"/>
        <v>0</v>
      </c>
      <c r="AM43" s="26">
        <f t="shared" si="1"/>
        <v>0</v>
      </c>
      <c r="AN43" s="26">
        <f t="shared" si="1"/>
        <v>0</v>
      </c>
      <c r="AO43" s="26">
        <f t="shared" si="1"/>
        <v>0</v>
      </c>
      <c r="AP43" s="26">
        <f t="shared" si="1"/>
        <v>2</v>
      </c>
      <c r="AQ43" s="26">
        <f t="shared" si="1"/>
        <v>0</v>
      </c>
      <c r="AR43" s="26">
        <f t="shared" si="1"/>
        <v>0</v>
      </c>
      <c r="AS43" s="26">
        <f t="shared" si="1"/>
        <v>0</v>
      </c>
      <c r="AV43" s="26">
        <f>D43-Z43</f>
        <v>0</v>
      </c>
      <c r="AW43" s="26">
        <f t="shared" ref="AW43:BO56" si="2">E43-AA43</f>
        <v>0</v>
      </c>
      <c r="AX43" s="26">
        <f t="shared" si="2"/>
        <v>0</v>
      </c>
      <c r="AY43" s="26">
        <f t="shared" si="2"/>
        <v>0</v>
      </c>
      <c r="AZ43" s="26">
        <f t="shared" si="2"/>
        <v>0</v>
      </c>
      <c r="BA43" s="26">
        <f t="shared" si="2"/>
        <v>0</v>
      </c>
      <c r="BB43" s="26">
        <f t="shared" si="2"/>
        <v>0</v>
      </c>
      <c r="BC43" s="26">
        <f t="shared" si="2"/>
        <v>0</v>
      </c>
      <c r="BD43" s="26">
        <f t="shared" si="2"/>
        <v>0</v>
      </c>
      <c r="BE43" s="26">
        <f t="shared" si="2"/>
        <v>0</v>
      </c>
      <c r="BF43" s="26">
        <f t="shared" si="2"/>
        <v>0</v>
      </c>
      <c r="BG43" s="26">
        <f t="shared" si="2"/>
        <v>0</v>
      </c>
      <c r="BH43" s="26">
        <f t="shared" si="2"/>
        <v>0</v>
      </c>
      <c r="BI43" s="26">
        <f t="shared" si="2"/>
        <v>0</v>
      </c>
      <c r="BJ43" s="26">
        <f t="shared" si="2"/>
        <v>0</v>
      </c>
      <c r="BK43" s="26">
        <f t="shared" si="2"/>
        <v>0</v>
      </c>
      <c r="BL43" s="26">
        <f t="shared" si="2"/>
        <v>0</v>
      </c>
      <c r="BM43" s="26">
        <f t="shared" si="2"/>
        <v>0</v>
      </c>
      <c r="BN43" s="26">
        <f t="shared" si="2"/>
        <v>0</v>
      </c>
      <c r="BO43" s="26">
        <f t="shared" si="2"/>
        <v>0</v>
      </c>
    </row>
    <row r="44" spans="1:67" x14ac:dyDescent="0.35">
      <c r="A44" s="7" t="str">
        <v>Application server software</v>
      </c>
      <c r="C44" s="9">
        <v>8</v>
      </c>
      <c r="D44" s="26">
        <f>D17</f>
        <v>2</v>
      </c>
      <c r="E44" s="26">
        <f t="shared" ref="E44:W44" si="3">MAX(E17-D88,0)</f>
        <v>0</v>
      </c>
      <c r="F44" s="26">
        <f t="shared" si="3"/>
        <v>0</v>
      </c>
      <c r="G44" s="26">
        <f t="shared" si="3"/>
        <v>0</v>
      </c>
      <c r="H44" s="26">
        <f t="shared" si="3"/>
        <v>0</v>
      </c>
      <c r="I44" s="26">
        <f t="shared" si="3"/>
        <v>0</v>
      </c>
      <c r="J44" s="26">
        <f t="shared" si="3"/>
        <v>0</v>
      </c>
      <c r="K44" s="26">
        <f t="shared" si="3"/>
        <v>0</v>
      </c>
      <c r="L44" s="26">
        <f t="shared" si="3"/>
        <v>2</v>
      </c>
      <c r="M44" s="26">
        <f t="shared" si="3"/>
        <v>0</v>
      </c>
      <c r="N44" s="26">
        <f t="shared" si="3"/>
        <v>0</v>
      </c>
      <c r="O44" s="26">
        <f t="shared" si="3"/>
        <v>0</v>
      </c>
      <c r="P44" s="26">
        <f t="shared" si="3"/>
        <v>0</v>
      </c>
      <c r="Q44" s="26">
        <f t="shared" si="3"/>
        <v>0</v>
      </c>
      <c r="R44" s="26">
        <f t="shared" si="3"/>
        <v>0</v>
      </c>
      <c r="S44" s="26">
        <f t="shared" si="3"/>
        <v>0</v>
      </c>
      <c r="T44" s="26">
        <f t="shared" si="3"/>
        <v>2</v>
      </c>
      <c r="U44" s="26">
        <f t="shared" si="3"/>
        <v>0</v>
      </c>
      <c r="V44" s="26">
        <f t="shared" si="3"/>
        <v>0</v>
      </c>
      <c r="W44" s="26">
        <f t="shared" si="3"/>
        <v>0</v>
      </c>
      <c r="Z44" s="26">
        <f t="shared" ref="Z44:Z58" si="4">Z17</f>
        <v>2</v>
      </c>
      <c r="AA44" s="26">
        <f t="shared" ref="AA44:AS44" si="5">MAX(AA17-Z88,0)</f>
        <v>0</v>
      </c>
      <c r="AB44" s="26">
        <f t="shared" si="5"/>
        <v>0</v>
      </c>
      <c r="AC44" s="26">
        <f t="shared" si="5"/>
        <v>0</v>
      </c>
      <c r="AD44" s="26">
        <f t="shared" si="5"/>
        <v>0</v>
      </c>
      <c r="AE44" s="26">
        <f t="shared" si="5"/>
        <v>0</v>
      </c>
      <c r="AF44" s="26">
        <f t="shared" si="5"/>
        <v>0</v>
      </c>
      <c r="AG44" s="26">
        <f t="shared" si="5"/>
        <v>0</v>
      </c>
      <c r="AH44" s="26">
        <f t="shared" si="5"/>
        <v>2</v>
      </c>
      <c r="AI44" s="26">
        <f t="shared" si="5"/>
        <v>0</v>
      </c>
      <c r="AJ44" s="26">
        <f t="shared" si="5"/>
        <v>0</v>
      </c>
      <c r="AK44" s="26">
        <f t="shared" si="5"/>
        <v>0</v>
      </c>
      <c r="AL44" s="26">
        <f t="shared" si="5"/>
        <v>0</v>
      </c>
      <c r="AM44" s="26">
        <f t="shared" si="5"/>
        <v>0</v>
      </c>
      <c r="AN44" s="26">
        <f t="shared" si="5"/>
        <v>0</v>
      </c>
      <c r="AO44" s="26">
        <f t="shared" si="5"/>
        <v>0</v>
      </c>
      <c r="AP44" s="26">
        <f t="shared" si="5"/>
        <v>2</v>
      </c>
      <c r="AQ44" s="26">
        <f t="shared" si="5"/>
        <v>0</v>
      </c>
      <c r="AR44" s="26">
        <f t="shared" si="5"/>
        <v>0</v>
      </c>
      <c r="AS44" s="26">
        <f t="shared" si="5"/>
        <v>0</v>
      </c>
      <c r="AV44" s="26">
        <f t="shared" ref="AV44:AV58" si="6">D44-Z44</f>
        <v>0</v>
      </c>
      <c r="AW44" s="26">
        <f t="shared" si="2"/>
        <v>0</v>
      </c>
      <c r="AX44" s="26">
        <f t="shared" si="2"/>
        <v>0</v>
      </c>
      <c r="AY44" s="26">
        <f t="shared" si="2"/>
        <v>0</v>
      </c>
      <c r="AZ44" s="26">
        <f t="shared" si="2"/>
        <v>0</v>
      </c>
      <c r="BA44" s="26">
        <f t="shared" si="2"/>
        <v>0</v>
      </c>
      <c r="BB44" s="26">
        <f t="shared" si="2"/>
        <v>0</v>
      </c>
      <c r="BC44" s="26">
        <f t="shared" si="2"/>
        <v>0</v>
      </c>
      <c r="BD44" s="26">
        <f t="shared" si="2"/>
        <v>0</v>
      </c>
      <c r="BE44" s="26">
        <f t="shared" si="2"/>
        <v>0</v>
      </c>
      <c r="BF44" s="26">
        <f t="shared" si="2"/>
        <v>0</v>
      </c>
      <c r="BG44" s="26">
        <f t="shared" si="2"/>
        <v>0</v>
      </c>
      <c r="BH44" s="26">
        <f t="shared" si="2"/>
        <v>0</v>
      </c>
      <c r="BI44" s="26">
        <f t="shared" si="2"/>
        <v>0</v>
      </c>
      <c r="BJ44" s="26">
        <f t="shared" si="2"/>
        <v>0</v>
      </c>
      <c r="BK44" s="26">
        <f t="shared" si="2"/>
        <v>0</v>
      </c>
      <c r="BL44" s="26">
        <f t="shared" si="2"/>
        <v>0</v>
      </c>
      <c r="BM44" s="26">
        <f t="shared" si="2"/>
        <v>0</v>
      </c>
      <c r="BN44" s="26">
        <f t="shared" si="2"/>
        <v>0</v>
      </c>
      <c r="BO44" s="26">
        <f t="shared" si="2"/>
        <v>0</v>
      </c>
    </row>
    <row r="45" spans="1:67" x14ac:dyDescent="0.35">
      <c r="A45" s="7" t="str">
        <v>Charging data function hardware</v>
      </c>
      <c r="C45" s="9">
        <v>8</v>
      </c>
      <c r="D45" s="26">
        <f t="shared" ref="D45:D57" si="7">D18</f>
        <v>2</v>
      </c>
      <c r="E45" s="26">
        <f t="shared" ref="E45:W45" si="8">MAX(E18-D89,0)</f>
        <v>0</v>
      </c>
      <c r="F45" s="26">
        <f t="shared" si="8"/>
        <v>0</v>
      </c>
      <c r="G45" s="26">
        <f t="shared" si="8"/>
        <v>0</v>
      </c>
      <c r="H45" s="26">
        <f t="shared" si="8"/>
        <v>0</v>
      </c>
      <c r="I45" s="26">
        <f t="shared" si="8"/>
        <v>0</v>
      </c>
      <c r="J45" s="26">
        <f t="shared" si="8"/>
        <v>0</v>
      </c>
      <c r="K45" s="26">
        <f t="shared" si="8"/>
        <v>0</v>
      </c>
      <c r="L45" s="26">
        <f t="shared" si="8"/>
        <v>2</v>
      </c>
      <c r="M45" s="26">
        <f t="shared" si="8"/>
        <v>0</v>
      </c>
      <c r="N45" s="26">
        <f t="shared" si="8"/>
        <v>0</v>
      </c>
      <c r="O45" s="26">
        <f t="shared" si="8"/>
        <v>0</v>
      </c>
      <c r="P45" s="26">
        <f t="shared" si="8"/>
        <v>0</v>
      </c>
      <c r="Q45" s="26">
        <f t="shared" si="8"/>
        <v>0</v>
      </c>
      <c r="R45" s="26">
        <f t="shared" si="8"/>
        <v>0</v>
      </c>
      <c r="S45" s="26">
        <f t="shared" si="8"/>
        <v>0</v>
      </c>
      <c r="T45" s="26">
        <f t="shared" si="8"/>
        <v>2</v>
      </c>
      <c r="U45" s="26">
        <f t="shared" si="8"/>
        <v>0</v>
      </c>
      <c r="V45" s="26">
        <f t="shared" si="8"/>
        <v>0</v>
      </c>
      <c r="W45" s="26">
        <f t="shared" si="8"/>
        <v>0</v>
      </c>
      <c r="Z45" s="26">
        <f t="shared" si="4"/>
        <v>2</v>
      </c>
      <c r="AA45" s="26">
        <f t="shared" ref="AA45:AS45" si="9">MAX(AA18-Z89,0)</f>
        <v>0</v>
      </c>
      <c r="AB45" s="26">
        <f t="shared" si="9"/>
        <v>0</v>
      </c>
      <c r="AC45" s="26">
        <f t="shared" si="9"/>
        <v>0</v>
      </c>
      <c r="AD45" s="26">
        <f t="shared" si="9"/>
        <v>0</v>
      </c>
      <c r="AE45" s="26">
        <f t="shared" si="9"/>
        <v>0</v>
      </c>
      <c r="AF45" s="26">
        <f t="shared" si="9"/>
        <v>0</v>
      </c>
      <c r="AG45" s="26">
        <f t="shared" si="9"/>
        <v>0</v>
      </c>
      <c r="AH45" s="26">
        <f t="shared" si="9"/>
        <v>2</v>
      </c>
      <c r="AI45" s="26">
        <f t="shared" si="9"/>
        <v>0</v>
      </c>
      <c r="AJ45" s="26">
        <f t="shared" si="9"/>
        <v>0</v>
      </c>
      <c r="AK45" s="26">
        <f t="shared" si="9"/>
        <v>0</v>
      </c>
      <c r="AL45" s="26">
        <f t="shared" si="9"/>
        <v>0</v>
      </c>
      <c r="AM45" s="26">
        <f t="shared" si="9"/>
        <v>0</v>
      </c>
      <c r="AN45" s="26">
        <f t="shared" si="9"/>
        <v>0</v>
      </c>
      <c r="AO45" s="26">
        <f t="shared" si="9"/>
        <v>0</v>
      </c>
      <c r="AP45" s="26">
        <f t="shared" si="9"/>
        <v>2</v>
      </c>
      <c r="AQ45" s="26">
        <f t="shared" si="9"/>
        <v>0</v>
      </c>
      <c r="AR45" s="26">
        <f t="shared" si="9"/>
        <v>0</v>
      </c>
      <c r="AS45" s="26">
        <f t="shared" si="9"/>
        <v>0</v>
      </c>
      <c r="AV45" s="26">
        <f t="shared" si="6"/>
        <v>0</v>
      </c>
      <c r="AW45" s="26">
        <f t="shared" si="2"/>
        <v>0</v>
      </c>
      <c r="AX45" s="26">
        <f t="shared" si="2"/>
        <v>0</v>
      </c>
      <c r="AY45" s="26">
        <f t="shared" si="2"/>
        <v>0</v>
      </c>
      <c r="AZ45" s="26">
        <f t="shared" si="2"/>
        <v>0</v>
      </c>
      <c r="BA45" s="26">
        <f t="shared" si="2"/>
        <v>0</v>
      </c>
      <c r="BB45" s="26">
        <f t="shared" si="2"/>
        <v>0</v>
      </c>
      <c r="BC45" s="26">
        <f t="shared" si="2"/>
        <v>0</v>
      </c>
      <c r="BD45" s="26">
        <f t="shared" si="2"/>
        <v>0</v>
      </c>
      <c r="BE45" s="26">
        <f t="shared" si="2"/>
        <v>0</v>
      </c>
      <c r="BF45" s="26">
        <f t="shared" si="2"/>
        <v>0</v>
      </c>
      <c r="BG45" s="26">
        <f t="shared" si="2"/>
        <v>0</v>
      </c>
      <c r="BH45" s="26">
        <f t="shared" si="2"/>
        <v>0</v>
      </c>
      <c r="BI45" s="26">
        <f t="shared" si="2"/>
        <v>0</v>
      </c>
      <c r="BJ45" s="26">
        <f t="shared" si="2"/>
        <v>0</v>
      </c>
      <c r="BK45" s="26">
        <f t="shared" si="2"/>
        <v>0</v>
      </c>
      <c r="BL45" s="26">
        <f t="shared" si="2"/>
        <v>0</v>
      </c>
      <c r="BM45" s="26">
        <f t="shared" si="2"/>
        <v>0</v>
      </c>
      <c r="BN45" s="26">
        <f t="shared" si="2"/>
        <v>0</v>
      </c>
      <c r="BO45" s="26">
        <f t="shared" si="2"/>
        <v>0</v>
      </c>
    </row>
    <row r="46" spans="1:67" x14ac:dyDescent="0.35">
      <c r="A46" s="7" t="str">
        <v>Charging data function software</v>
      </c>
      <c r="C46" s="9">
        <v>8</v>
      </c>
      <c r="D46" s="26">
        <f t="shared" si="7"/>
        <v>168</v>
      </c>
      <c r="E46" s="26">
        <f t="shared" ref="E46:W46" si="10">MAX(E19-D90,0)</f>
        <v>0</v>
      </c>
      <c r="F46" s="26">
        <f t="shared" si="10"/>
        <v>0</v>
      </c>
      <c r="G46" s="26">
        <f t="shared" si="10"/>
        <v>0</v>
      </c>
      <c r="H46" s="26">
        <f t="shared" si="10"/>
        <v>0</v>
      </c>
      <c r="I46" s="26">
        <f t="shared" si="10"/>
        <v>0</v>
      </c>
      <c r="J46" s="26">
        <f t="shared" si="10"/>
        <v>0</v>
      </c>
      <c r="K46" s="26">
        <f t="shared" si="10"/>
        <v>0</v>
      </c>
      <c r="L46" s="26">
        <f t="shared" si="10"/>
        <v>74</v>
      </c>
      <c r="M46" s="26">
        <f t="shared" si="10"/>
        <v>0</v>
      </c>
      <c r="N46" s="26">
        <f t="shared" si="10"/>
        <v>0</v>
      </c>
      <c r="O46" s="26">
        <f t="shared" si="10"/>
        <v>0</v>
      </c>
      <c r="P46" s="26">
        <f t="shared" si="10"/>
        <v>0</v>
      </c>
      <c r="Q46" s="26">
        <f t="shared" si="10"/>
        <v>0</v>
      </c>
      <c r="R46" s="26">
        <f t="shared" si="10"/>
        <v>0</v>
      </c>
      <c r="S46" s="26">
        <f t="shared" si="10"/>
        <v>0</v>
      </c>
      <c r="T46" s="26">
        <f t="shared" si="10"/>
        <v>34</v>
      </c>
      <c r="U46" s="26">
        <f t="shared" si="10"/>
        <v>0</v>
      </c>
      <c r="V46" s="26">
        <f t="shared" si="10"/>
        <v>0</v>
      </c>
      <c r="W46" s="26">
        <f t="shared" si="10"/>
        <v>0</v>
      </c>
      <c r="Z46" s="26">
        <f t="shared" si="4"/>
        <v>124</v>
      </c>
      <c r="AA46" s="26">
        <f t="shared" ref="AA46:AS46" si="11">MAX(AA19-Z90,0)</f>
        <v>0</v>
      </c>
      <c r="AB46" s="26">
        <f t="shared" si="11"/>
        <v>0</v>
      </c>
      <c r="AC46" s="26">
        <f t="shared" si="11"/>
        <v>0</v>
      </c>
      <c r="AD46" s="26">
        <f t="shared" si="11"/>
        <v>0</v>
      </c>
      <c r="AE46" s="26">
        <f t="shared" si="11"/>
        <v>0</v>
      </c>
      <c r="AF46" s="26">
        <f t="shared" si="11"/>
        <v>0</v>
      </c>
      <c r="AG46" s="26">
        <f t="shared" si="11"/>
        <v>0</v>
      </c>
      <c r="AH46" s="26">
        <f t="shared" si="11"/>
        <v>52</v>
      </c>
      <c r="AI46" s="26">
        <f t="shared" si="11"/>
        <v>0</v>
      </c>
      <c r="AJ46" s="26">
        <f t="shared" si="11"/>
        <v>0</v>
      </c>
      <c r="AK46" s="26">
        <f t="shared" si="11"/>
        <v>0</v>
      </c>
      <c r="AL46" s="26">
        <f t="shared" si="11"/>
        <v>0</v>
      </c>
      <c r="AM46" s="26">
        <f t="shared" si="11"/>
        <v>0</v>
      </c>
      <c r="AN46" s="26">
        <f t="shared" si="11"/>
        <v>0</v>
      </c>
      <c r="AO46" s="26">
        <f t="shared" si="11"/>
        <v>0</v>
      </c>
      <c r="AP46" s="26">
        <f t="shared" si="11"/>
        <v>24</v>
      </c>
      <c r="AQ46" s="26">
        <f t="shared" si="11"/>
        <v>0</v>
      </c>
      <c r="AR46" s="26">
        <f t="shared" si="11"/>
        <v>0</v>
      </c>
      <c r="AS46" s="26">
        <f t="shared" si="11"/>
        <v>0</v>
      </c>
      <c r="AV46" s="26">
        <f t="shared" si="6"/>
        <v>44</v>
      </c>
      <c r="AW46" s="26">
        <f t="shared" si="2"/>
        <v>0</v>
      </c>
      <c r="AX46" s="26">
        <f t="shared" si="2"/>
        <v>0</v>
      </c>
      <c r="AY46" s="26">
        <f t="shared" si="2"/>
        <v>0</v>
      </c>
      <c r="AZ46" s="26">
        <f t="shared" si="2"/>
        <v>0</v>
      </c>
      <c r="BA46" s="26">
        <f t="shared" si="2"/>
        <v>0</v>
      </c>
      <c r="BB46" s="26">
        <f t="shared" si="2"/>
        <v>0</v>
      </c>
      <c r="BC46" s="26">
        <f t="shared" si="2"/>
        <v>0</v>
      </c>
      <c r="BD46" s="26">
        <f t="shared" si="2"/>
        <v>22</v>
      </c>
      <c r="BE46" s="26">
        <f t="shared" si="2"/>
        <v>0</v>
      </c>
      <c r="BF46" s="26">
        <f t="shared" si="2"/>
        <v>0</v>
      </c>
      <c r="BG46" s="26">
        <f t="shared" si="2"/>
        <v>0</v>
      </c>
      <c r="BH46" s="26">
        <f t="shared" si="2"/>
        <v>0</v>
      </c>
      <c r="BI46" s="26">
        <f t="shared" si="2"/>
        <v>0</v>
      </c>
      <c r="BJ46" s="26">
        <f t="shared" si="2"/>
        <v>0</v>
      </c>
      <c r="BK46" s="26">
        <f t="shared" si="2"/>
        <v>0</v>
      </c>
      <c r="BL46" s="26">
        <f t="shared" si="2"/>
        <v>10</v>
      </c>
      <c r="BM46" s="26">
        <f t="shared" si="2"/>
        <v>0</v>
      </c>
      <c r="BN46" s="26">
        <f t="shared" si="2"/>
        <v>0</v>
      </c>
      <c r="BO46" s="26">
        <f t="shared" si="2"/>
        <v>0</v>
      </c>
    </row>
    <row r="47" spans="1:67" x14ac:dyDescent="0.35">
      <c r="A47" s="7" t="str">
        <v>Proxy - Call session control function hardware</v>
      </c>
      <c r="C47" s="9">
        <v>8</v>
      </c>
      <c r="D47" s="26">
        <f>D20</f>
        <v>2</v>
      </c>
      <c r="E47" s="26">
        <f t="shared" ref="E47:W47" si="12">MAX(E20-D91,0)</f>
        <v>0</v>
      </c>
      <c r="F47" s="26">
        <f t="shared" si="12"/>
        <v>0</v>
      </c>
      <c r="G47" s="26">
        <f t="shared" si="12"/>
        <v>0</v>
      </c>
      <c r="H47" s="26">
        <f t="shared" si="12"/>
        <v>0</v>
      </c>
      <c r="I47" s="26">
        <f t="shared" si="12"/>
        <v>0</v>
      </c>
      <c r="J47" s="26">
        <f t="shared" si="12"/>
        <v>0</v>
      </c>
      <c r="K47" s="26">
        <f t="shared" si="12"/>
        <v>0</v>
      </c>
      <c r="L47" s="26">
        <f t="shared" si="12"/>
        <v>2</v>
      </c>
      <c r="M47" s="26">
        <f t="shared" si="12"/>
        <v>0</v>
      </c>
      <c r="N47" s="26">
        <f t="shared" si="12"/>
        <v>0</v>
      </c>
      <c r="O47" s="26">
        <f t="shared" si="12"/>
        <v>0</v>
      </c>
      <c r="P47" s="26">
        <f t="shared" si="12"/>
        <v>0</v>
      </c>
      <c r="Q47" s="26">
        <f t="shared" si="12"/>
        <v>0</v>
      </c>
      <c r="R47" s="26">
        <f t="shared" si="12"/>
        <v>0</v>
      </c>
      <c r="S47" s="26">
        <f t="shared" si="12"/>
        <v>0</v>
      </c>
      <c r="T47" s="26">
        <f t="shared" si="12"/>
        <v>2</v>
      </c>
      <c r="U47" s="26">
        <f t="shared" si="12"/>
        <v>0</v>
      </c>
      <c r="V47" s="26">
        <f t="shared" si="12"/>
        <v>0</v>
      </c>
      <c r="W47" s="26">
        <f t="shared" si="12"/>
        <v>0</v>
      </c>
      <c r="Z47" s="26">
        <f t="shared" si="4"/>
        <v>2</v>
      </c>
      <c r="AA47" s="26">
        <f t="shared" ref="AA47:AS47" si="13">MAX(AA20-Z91,0)</f>
        <v>0</v>
      </c>
      <c r="AB47" s="26">
        <f t="shared" si="13"/>
        <v>0</v>
      </c>
      <c r="AC47" s="26">
        <f t="shared" si="13"/>
        <v>0</v>
      </c>
      <c r="AD47" s="26">
        <f t="shared" si="13"/>
        <v>0</v>
      </c>
      <c r="AE47" s="26">
        <f t="shared" si="13"/>
        <v>0</v>
      </c>
      <c r="AF47" s="26">
        <f t="shared" si="13"/>
        <v>0</v>
      </c>
      <c r="AG47" s="26">
        <f t="shared" si="13"/>
        <v>0</v>
      </c>
      <c r="AH47" s="26">
        <f t="shared" si="13"/>
        <v>2</v>
      </c>
      <c r="AI47" s="26">
        <f t="shared" si="13"/>
        <v>0</v>
      </c>
      <c r="AJ47" s="26">
        <f t="shared" si="13"/>
        <v>0</v>
      </c>
      <c r="AK47" s="26">
        <f t="shared" si="13"/>
        <v>0</v>
      </c>
      <c r="AL47" s="26">
        <f t="shared" si="13"/>
        <v>0</v>
      </c>
      <c r="AM47" s="26">
        <f t="shared" si="13"/>
        <v>0</v>
      </c>
      <c r="AN47" s="26">
        <f t="shared" si="13"/>
        <v>0</v>
      </c>
      <c r="AO47" s="26">
        <f t="shared" si="13"/>
        <v>0</v>
      </c>
      <c r="AP47" s="26">
        <f t="shared" si="13"/>
        <v>2</v>
      </c>
      <c r="AQ47" s="26">
        <f t="shared" si="13"/>
        <v>0</v>
      </c>
      <c r="AR47" s="26">
        <f t="shared" si="13"/>
        <v>0</v>
      </c>
      <c r="AS47" s="26">
        <f t="shared" si="13"/>
        <v>0</v>
      </c>
      <c r="AV47" s="26">
        <f t="shared" si="6"/>
        <v>0</v>
      </c>
      <c r="AW47" s="26">
        <f t="shared" si="2"/>
        <v>0</v>
      </c>
      <c r="AX47" s="26">
        <f t="shared" si="2"/>
        <v>0</v>
      </c>
      <c r="AY47" s="26">
        <f t="shared" si="2"/>
        <v>0</v>
      </c>
      <c r="AZ47" s="26">
        <f t="shared" si="2"/>
        <v>0</v>
      </c>
      <c r="BA47" s="26">
        <f t="shared" si="2"/>
        <v>0</v>
      </c>
      <c r="BB47" s="26">
        <f t="shared" si="2"/>
        <v>0</v>
      </c>
      <c r="BC47" s="26">
        <f t="shared" si="2"/>
        <v>0</v>
      </c>
      <c r="BD47" s="26">
        <f t="shared" si="2"/>
        <v>0</v>
      </c>
      <c r="BE47" s="26">
        <f t="shared" si="2"/>
        <v>0</v>
      </c>
      <c r="BF47" s="26">
        <f t="shared" si="2"/>
        <v>0</v>
      </c>
      <c r="BG47" s="26">
        <f t="shared" si="2"/>
        <v>0</v>
      </c>
      <c r="BH47" s="26">
        <f t="shared" si="2"/>
        <v>0</v>
      </c>
      <c r="BI47" s="26">
        <f t="shared" si="2"/>
        <v>0</v>
      </c>
      <c r="BJ47" s="26">
        <f t="shared" si="2"/>
        <v>0</v>
      </c>
      <c r="BK47" s="26">
        <f t="shared" si="2"/>
        <v>0</v>
      </c>
      <c r="BL47" s="26">
        <f t="shared" si="2"/>
        <v>0</v>
      </c>
      <c r="BM47" s="26">
        <f t="shared" si="2"/>
        <v>0</v>
      </c>
      <c r="BN47" s="26">
        <f t="shared" si="2"/>
        <v>0</v>
      </c>
      <c r="BO47" s="26">
        <f t="shared" si="2"/>
        <v>0</v>
      </c>
    </row>
    <row r="48" spans="1:67" x14ac:dyDescent="0.35">
      <c r="A48" s="7" t="str">
        <v>Proxy - Call session control function software</v>
      </c>
      <c r="C48" s="9">
        <v>8</v>
      </c>
      <c r="D48" s="26">
        <f t="shared" si="7"/>
        <v>1714</v>
      </c>
      <c r="E48" s="26">
        <f t="shared" ref="E48:W48" si="14">MAX(E21-D92,0)</f>
        <v>0</v>
      </c>
      <c r="F48" s="26">
        <f t="shared" si="14"/>
        <v>0</v>
      </c>
      <c r="G48" s="26">
        <f t="shared" si="14"/>
        <v>0</v>
      </c>
      <c r="H48" s="26">
        <f t="shared" si="14"/>
        <v>0</v>
      </c>
      <c r="I48" s="26">
        <f t="shared" si="14"/>
        <v>0</v>
      </c>
      <c r="J48" s="26">
        <f t="shared" si="14"/>
        <v>0</v>
      </c>
      <c r="K48" s="26">
        <f t="shared" si="14"/>
        <v>0</v>
      </c>
      <c r="L48" s="26">
        <f t="shared" si="14"/>
        <v>758</v>
      </c>
      <c r="M48" s="26">
        <f t="shared" si="14"/>
        <v>0</v>
      </c>
      <c r="N48" s="26">
        <f t="shared" si="14"/>
        <v>0</v>
      </c>
      <c r="O48" s="26">
        <f t="shared" si="14"/>
        <v>0</v>
      </c>
      <c r="P48" s="26">
        <f t="shared" si="14"/>
        <v>0</v>
      </c>
      <c r="Q48" s="26">
        <f t="shared" si="14"/>
        <v>0</v>
      </c>
      <c r="R48" s="26">
        <f t="shared" si="14"/>
        <v>0</v>
      </c>
      <c r="S48" s="26">
        <f t="shared" si="14"/>
        <v>0</v>
      </c>
      <c r="T48" s="26">
        <f t="shared" si="14"/>
        <v>340</v>
      </c>
      <c r="U48" s="26">
        <f t="shared" si="14"/>
        <v>0</v>
      </c>
      <c r="V48" s="26">
        <f t="shared" si="14"/>
        <v>0</v>
      </c>
      <c r="W48" s="26">
        <f t="shared" si="14"/>
        <v>0</v>
      </c>
      <c r="Z48" s="26">
        <f t="shared" si="4"/>
        <v>1266</v>
      </c>
      <c r="AA48" s="26">
        <f t="shared" ref="AA48:AS48" si="15">MAX(AA21-Z92,0)</f>
        <v>0</v>
      </c>
      <c r="AB48" s="26">
        <f t="shared" si="15"/>
        <v>0</v>
      </c>
      <c r="AC48" s="26">
        <f t="shared" si="15"/>
        <v>0</v>
      </c>
      <c r="AD48" s="26">
        <f t="shared" si="15"/>
        <v>0</v>
      </c>
      <c r="AE48" s="26">
        <f t="shared" si="15"/>
        <v>0</v>
      </c>
      <c r="AF48" s="26">
        <f t="shared" si="15"/>
        <v>0</v>
      </c>
      <c r="AG48" s="26">
        <f t="shared" si="15"/>
        <v>0</v>
      </c>
      <c r="AH48" s="26">
        <f t="shared" si="15"/>
        <v>528</v>
      </c>
      <c r="AI48" s="26">
        <f t="shared" si="15"/>
        <v>0</v>
      </c>
      <c r="AJ48" s="26">
        <f t="shared" si="15"/>
        <v>0</v>
      </c>
      <c r="AK48" s="26">
        <f t="shared" si="15"/>
        <v>0</v>
      </c>
      <c r="AL48" s="26">
        <f t="shared" si="15"/>
        <v>0</v>
      </c>
      <c r="AM48" s="26">
        <f t="shared" si="15"/>
        <v>0</v>
      </c>
      <c r="AN48" s="26">
        <f t="shared" si="15"/>
        <v>0</v>
      </c>
      <c r="AO48" s="26">
        <f t="shared" si="15"/>
        <v>0</v>
      </c>
      <c r="AP48" s="26">
        <f t="shared" si="15"/>
        <v>236</v>
      </c>
      <c r="AQ48" s="26">
        <f t="shared" si="15"/>
        <v>0</v>
      </c>
      <c r="AR48" s="26">
        <f t="shared" si="15"/>
        <v>0</v>
      </c>
      <c r="AS48" s="26">
        <f t="shared" si="15"/>
        <v>0</v>
      </c>
      <c r="AV48" s="26">
        <f t="shared" si="6"/>
        <v>448</v>
      </c>
      <c r="AW48" s="26">
        <f t="shared" si="2"/>
        <v>0</v>
      </c>
      <c r="AX48" s="26">
        <f t="shared" si="2"/>
        <v>0</v>
      </c>
      <c r="AY48" s="26">
        <f t="shared" si="2"/>
        <v>0</v>
      </c>
      <c r="AZ48" s="26">
        <f t="shared" si="2"/>
        <v>0</v>
      </c>
      <c r="BA48" s="26">
        <f t="shared" si="2"/>
        <v>0</v>
      </c>
      <c r="BB48" s="26">
        <f t="shared" si="2"/>
        <v>0</v>
      </c>
      <c r="BC48" s="26">
        <f t="shared" si="2"/>
        <v>0</v>
      </c>
      <c r="BD48" s="26">
        <f t="shared" si="2"/>
        <v>230</v>
      </c>
      <c r="BE48" s="26">
        <f t="shared" si="2"/>
        <v>0</v>
      </c>
      <c r="BF48" s="26">
        <f t="shared" si="2"/>
        <v>0</v>
      </c>
      <c r="BG48" s="26">
        <f t="shared" si="2"/>
        <v>0</v>
      </c>
      <c r="BH48" s="26">
        <f t="shared" si="2"/>
        <v>0</v>
      </c>
      <c r="BI48" s="26">
        <f t="shared" si="2"/>
        <v>0</v>
      </c>
      <c r="BJ48" s="26">
        <f t="shared" si="2"/>
        <v>0</v>
      </c>
      <c r="BK48" s="26">
        <f t="shared" si="2"/>
        <v>0</v>
      </c>
      <c r="BL48" s="26">
        <f t="shared" si="2"/>
        <v>104</v>
      </c>
      <c r="BM48" s="26">
        <f t="shared" si="2"/>
        <v>0</v>
      </c>
      <c r="BN48" s="26">
        <f t="shared" si="2"/>
        <v>0</v>
      </c>
      <c r="BO48" s="26">
        <f t="shared" si="2"/>
        <v>0</v>
      </c>
    </row>
    <row r="49" spans="1:68" x14ac:dyDescent="0.35">
      <c r="A49" s="7" t="str">
        <v>Interrogating - Call session control function hardware</v>
      </c>
      <c r="C49" s="9">
        <v>8</v>
      </c>
      <c r="D49" s="26">
        <f t="shared" si="7"/>
        <v>2</v>
      </c>
      <c r="E49" s="26">
        <f t="shared" ref="E49:W49" si="16">MAX(E22-D93,0)</f>
        <v>0</v>
      </c>
      <c r="F49" s="26">
        <f t="shared" si="16"/>
        <v>0</v>
      </c>
      <c r="G49" s="26">
        <f t="shared" si="16"/>
        <v>0</v>
      </c>
      <c r="H49" s="26">
        <f t="shared" si="16"/>
        <v>0</v>
      </c>
      <c r="I49" s="26">
        <f t="shared" si="16"/>
        <v>0</v>
      </c>
      <c r="J49" s="26">
        <f t="shared" si="16"/>
        <v>0</v>
      </c>
      <c r="K49" s="26">
        <f t="shared" si="16"/>
        <v>0</v>
      </c>
      <c r="L49" s="26">
        <f t="shared" si="16"/>
        <v>2</v>
      </c>
      <c r="M49" s="26">
        <f t="shared" si="16"/>
        <v>0</v>
      </c>
      <c r="N49" s="26">
        <f t="shared" si="16"/>
        <v>0</v>
      </c>
      <c r="O49" s="26">
        <f t="shared" si="16"/>
        <v>0</v>
      </c>
      <c r="P49" s="26">
        <f t="shared" si="16"/>
        <v>0</v>
      </c>
      <c r="Q49" s="26">
        <f t="shared" si="16"/>
        <v>0</v>
      </c>
      <c r="R49" s="26">
        <f t="shared" si="16"/>
        <v>0</v>
      </c>
      <c r="S49" s="26">
        <f t="shared" si="16"/>
        <v>0</v>
      </c>
      <c r="T49" s="26">
        <f t="shared" si="16"/>
        <v>2</v>
      </c>
      <c r="U49" s="26">
        <f t="shared" si="16"/>
        <v>0</v>
      </c>
      <c r="V49" s="26">
        <f t="shared" si="16"/>
        <v>0</v>
      </c>
      <c r="W49" s="26">
        <f t="shared" si="16"/>
        <v>0</v>
      </c>
      <c r="Z49" s="26">
        <f t="shared" si="4"/>
        <v>2</v>
      </c>
      <c r="AA49" s="26">
        <f t="shared" ref="AA49:AS49" si="17">MAX(AA22-Z93,0)</f>
        <v>0</v>
      </c>
      <c r="AB49" s="26">
        <f t="shared" si="17"/>
        <v>0</v>
      </c>
      <c r="AC49" s="26">
        <f t="shared" si="17"/>
        <v>0</v>
      </c>
      <c r="AD49" s="26">
        <f t="shared" si="17"/>
        <v>0</v>
      </c>
      <c r="AE49" s="26">
        <f t="shared" si="17"/>
        <v>0</v>
      </c>
      <c r="AF49" s="26">
        <f t="shared" si="17"/>
        <v>0</v>
      </c>
      <c r="AG49" s="26">
        <f t="shared" si="17"/>
        <v>0</v>
      </c>
      <c r="AH49" s="26">
        <f t="shared" si="17"/>
        <v>2</v>
      </c>
      <c r="AI49" s="26">
        <f t="shared" si="17"/>
        <v>0</v>
      </c>
      <c r="AJ49" s="26">
        <f t="shared" si="17"/>
        <v>0</v>
      </c>
      <c r="AK49" s="26">
        <f t="shared" si="17"/>
        <v>0</v>
      </c>
      <c r="AL49" s="26">
        <f t="shared" si="17"/>
        <v>0</v>
      </c>
      <c r="AM49" s="26">
        <f t="shared" si="17"/>
        <v>0</v>
      </c>
      <c r="AN49" s="26">
        <f t="shared" si="17"/>
        <v>0</v>
      </c>
      <c r="AO49" s="26">
        <f t="shared" si="17"/>
        <v>0</v>
      </c>
      <c r="AP49" s="26">
        <f t="shared" si="17"/>
        <v>2</v>
      </c>
      <c r="AQ49" s="26">
        <f t="shared" si="17"/>
        <v>0</v>
      </c>
      <c r="AR49" s="26">
        <f t="shared" si="17"/>
        <v>0</v>
      </c>
      <c r="AS49" s="26">
        <f t="shared" si="17"/>
        <v>0</v>
      </c>
      <c r="AV49" s="26">
        <f t="shared" si="6"/>
        <v>0</v>
      </c>
      <c r="AW49" s="26">
        <f t="shared" si="2"/>
        <v>0</v>
      </c>
      <c r="AX49" s="26">
        <f t="shared" si="2"/>
        <v>0</v>
      </c>
      <c r="AY49" s="26">
        <f t="shared" si="2"/>
        <v>0</v>
      </c>
      <c r="AZ49" s="26">
        <f t="shared" si="2"/>
        <v>0</v>
      </c>
      <c r="BA49" s="26">
        <f t="shared" si="2"/>
        <v>0</v>
      </c>
      <c r="BB49" s="26">
        <f t="shared" si="2"/>
        <v>0</v>
      </c>
      <c r="BC49" s="26">
        <f t="shared" si="2"/>
        <v>0</v>
      </c>
      <c r="BD49" s="26">
        <f t="shared" si="2"/>
        <v>0</v>
      </c>
      <c r="BE49" s="26">
        <f t="shared" si="2"/>
        <v>0</v>
      </c>
      <c r="BF49" s="26">
        <f t="shared" si="2"/>
        <v>0</v>
      </c>
      <c r="BG49" s="26">
        <f t="shared" si="2"/>
        <v>0</v>
      </c>
      <c r="BH49" s="26">
        <f t="shared" si="2"/>
        <v>0</v>
      </c>
      <c r="BI49" s="26">
        <f t="shared" si="2"/>
        <v>0</v>
      </c>
      <c r="BJ49" s="26">
        <f t="shared" si="2"/>
        <v>0</v>
      </c>
      <c r="BK49" s="26">
        <f t="shared" si="2"/>
        <v>0</v>
      </c>
      <c r="BL49" s="26">
        <f t="shared" si="2"/>
        <v>0</v>
      </c>
      <c r="BM49" s="26">
        <f t="shared" si="2"/>
        <v>0</v>
      </c>
      <c r="BN49" s="26">
        <f t="shared" si="2"/>
        <v>0</v>
      </c>
      <c r="BO49" s="26">
        <f t="shared" si="2"/>
        <v>0</v>
      </c>
    </row>
    <row r="50" spans="1:68" x14ac:dyDescent="0.35">
      <c r="A50" s="7" t="str">
        <v>Interrogating - Call session control function software</v>
      </c>
      <c r="C50" s="9">
        <v>8</v>
      </c>
      <c r="D50" s="26">
        <f t="shared" si="7"/>
        <v>1714</v>
      </c>
      <c r="E50" s="26">
        <f t="shared" ref="E50:W50" si="18">MAX(E23-D94,0)</f>
        <v>0</v>
      </c>
      <c r="F50" s="26">
        <f t="shared" si="18"/>
        <v>0</v>
      </c>
      <c r="G50" s="26">
        <f t="shared" si="18"/>
        <v>0</v>
      </c>
      <c r="H50" s="26">
        <f t="shared" si="18"/>
        <v>0</v>
      </c>
      <c r="I50" s="26">
        <f t="shared" si="18"/>
        <v>0</v>
      </c>
      <c r="J50" s="26">
        <f t="shared" si="18"/>
        <v>0</v>
      </c>
      <c r="K50" s="26">
        <f t="shared" si="18"/>
        <v>0</v>
      </c>
      <c r="L50" s="26">
        <f t="shared" si="18"/>
        <v>758</v>
      </c>
      <c r="M50" s="26">
        <f t="shared" si="18"/>
        <v>0</v>
      </c>
      <c r="N50" s="26">
        <f t="shared" si="18"/>
        <v>0</v>
      </c>
      <c r="O50" s="26">
        <f t="shared" si="18"/>
        <v>0</v>
      </c>
      <c r="P50" s="26">
        <f t="shared" si="18"/>
        <v>0</v>
      </c>
      <c r="Q50" s="26">
        <f t="shared" si="18"/>
        <v>0</v>
      </c>
      <c r="R50" s="26">
        <f t="shared" si="18"/>
        <v>0</v>
      </c>
      <c r="S50" s="26">
        <f t="shared" si="18"/>
        <v>0</v>
      </c>
      <c r="T50" s="26">
        <f t="shared" si="18"/>
        <v>340</v>
      </c>
      <c r="U50" s="26">
        <f t="shared" si="18"/>
        <v>0</v>
      </c>
      <c r="V50" s="26">
        <f t="shared" si="18"/>
        <v>0</v>
      </c>
      <c r="W50" s="26">
        <f t="shared" si="18"/>
        <v>0</v>
      </c>
      <c r="Z50" s="26">
        <f t="shared" si="4"/>
        <v>1266</v>
      </c>
      <c r="AA50" s="26">
        <f t="shared" ref="AA50:AS50" si="19">MAX(AA23-Z94,0)</f>
        <v>0</v>
      </c>
      <c r="AB50" s="26">
        <f t="shared" si="19"/>
        <v>0</v>
      </c>
      <c r="AC50" s="26">
        <f t="shared" si="19"/>
        <v>0</v>
      </c>
      <c r="AD50" s="26">
        <f t="shared" si="19"/>
        <v>0</v>
      </c>
      <c r="AE50" s="26">
        <f t="shared" si="19"/>
        <v>0</v>
      </c>
      <c r="AF50" s="26">
        <f t="shared" si="19"/>
        <v>0</v>
      </c>
      <c r="AG50" s="26">
        <f t="shared" si="19"/>
        <v>0</v>
      </c>
      <c r="AH50" s="26">
        <f t="shared" si="19"/>
        <v>528</v>
      </c>
      <c r="AI50" s="26">
        <f t="shared" si="19"/>
        <v>0</v>
      </c>
      <c r="AJ50" s="26">
        <f t="shared" si="19"/>
        <v>0</v>
      </c>
      <c r="AK50" s="26">
        <f t="shared" si="19"/>
        <v>0</v>
      </c>
      <c r="AL50" s="26">
        <f t="shared" si="19"/>
        <v>0</v>
      </c>
      <c r="AM50" s="26">
        <f t="shared" si="19"/>
        <v>0</v>
      </c>
      <c r="AN50" s="26">
        <f t="shared" si="19"/>
        <v>0</v>
      </c>
      <c r="AO50" s="26">
        <f t="shared" si="19"/>
        <v>0</v>
      </c>
      <c r="AP50" s="26">
        <f t="shared" si="19"/>
        <v>236</v>
      </c>
      <c r="AQ50" s="26">
        <f t="shared" si="19"/>
        <v>0</v>
      </c>
      <c r="AR50" s="26">
        <f t="shared" si="19"/>
        <v>0</v>
      </c>
      <c r="AS50" s="26">
        <f t="shared" si="19"/>
        <v>0</v>
      </c>
      <c r="AV50" s="26">
        <f t="shared" si="6"/>
        <v>448</v>
      </c>
      <c r="AW50" s="26">
        <f t="shared" si="2"/>
        <v>0</v>
      </c>
      <c r="AX50" s="26">
        <f t="shared" si="2"/>
        <v>0</v>
      </c>
      <c r="AY50" s="26">
        <f t="shared" si="2"/>
        <v>0</v>
      </c>
      <c r="AZ50" s="26">
        <f t="shared" si="2"/>
        <v>0</v>
      </c>
      <c r="BA50" s="26">
        <f t="shared" si="2"/>
        <v>0</v>
      </c>
      <c r="BB50" s="26">
        <f t="shared" si="2"/>
        <v>0</v>
      </c>
      <c r="BC50" s="26">
        <f t="shared" si="2"/>
        <v>0</v>
      </c>
      <c r="BD50" s="26">
        <f t="shared" si="2"/>
        <v>230</v>
      </c>
      <c r="BE50" s="26">
        <f t="shared" si="2"/>
        <v>0</v>
      </c>
      <c r="BF50" s="26">
        <f t="shared" si="2"/>
        <v>0</v>
      </c>
      <c r="BG50" s="26">
        <f t="shared" si="2"/>
        <v>0</v>
      </c>
      <c r="BH50" s="26">
        <f t="shared" si="2"/>
        <v>0</v>
      </c>
      <c r="BI50" s="26">
        <f t="shared" si="2"/>
        <v>0</v>
      </c>
      <c r="BJ50" s="26">
        <f t="shared" si="2"/>
        <v>0</v>
      </c>
      <c r="BK50" s="26">
        <f t="shared" si="2"/>
        <v>0</v>
      </c>
      <c r="BL50" s="26">
        <f t="shared" si="2"/>
        <v>104</v>
      </c>
      <c r="BM50" s="26">
        <f t="shared" si="2"/>
        <v>0</v>
      </c>
      <c r="BN50" s="26">
        <f t="shared" si="2"/>
        <v>0</v>
      </c>
      <c r="BO50" s="26">
        <f t="shared" si="2"/>
        <v>0</v>
      </c>
    </row>
    <row r="51" spans="1:68" x14ac:dyDescent="0.35">
      <c r="A51" s="7" t="str">
        <v>Serving - Call session control function hardware</v>
      </c>
      <c r="C51" s="9">
        <v>8</v>
      </c>
      <c r="D51" s="26">
        <f t="shared" si="7"/>
        <v>2</v>
      </c>
      <c r="E51" s="26">
        <f t="shared" ref="E51:W51" si="20">MAX(E24-D95,0)</f>
        <v>0</v>
      </c>
      <c r="F51" s="26">
        <f t="shared" si="20"/>
        <v>0</v>
      </c>
      <c r="G51" s="26">
        <f t="shared" si="20"/>
        <v>0</v>
      </c>
      <c r="H51" s="26">
        <f t="shared" si="20"/>
        <v>0</v>
      </c>
      <c r="I51" s="26">
        <f t="shared" si="20"/>
        <v>0</v>
      </c>
      <c r="J51" s="26">
        <f t="shared" si="20"/>
        <v>0</v>
      </c>
      <c r="K51" s="26">
        <f t="shared" si="20"/>
        <v>0</v>
      </c>
      <c r="L51" s="26">
        <f t="shared" si="20"/>
        <v>2</v>
      </c>
      <c r="M51" s="26">
        <f t="shared" si="20"/>
        <v>0</v>
      </c>
      <c r="N51" s="26">
        <f t="shared" si="20"/>
        <v>0</v>
      </c>
      <c r="O51" s="26">
        <f t="shared" si="20"/>
        <v>0</v>
      </c>
      <c r="P51" s="26">
        <f t="shared" si="20"/>
        <v>0</v>
      </c>
      <c r="Q51" s="26">
        <f t="shared" si="20"/>
        <v>0</v>
      </c>
      <c r="R51" s="26">
        <f t="shared" si="20"/>
        <v>0</v>
      </c>
      <c r="S51" s="26">
        <f t="shared" si="20"/>
        <v>0</v>
      </c>
      <c r="T51" s="26">
        <f t="shared" si="20"/>
        <v>2</v>
      </c>
      <c r="U51" s="26">
        <f t="shared" si="20"/>
        <v>0</v>
      </c>
      <c r="V51" s="26">
        <f t="shared" si="20"/>
        <v>0</v>
      </c>
      <c r="W51" s="26">
        <f t="shared" si="20"/>
        <v>0</v>
      </c>
      <c r="Z51" s="26">
        <f t="shared" si="4"/>
        <v>2</v>
      </c>
      <c r="AA51" s="26">
        <f t="shared" ref="AA51:AS51" si="21">MAX(AA24-Z95,0)</f>
        <v>0</v>
      </c>
      <c r="AB51" s="26">
        <f t="shared" si="21"/>
        <v>0</v>
      </c>
      <c r="AC51" s="26">
        <f t="shared" si="21"/>
        <v>0</v>
      </c>
      <c r="AD51" s="26">
        <f t="shared" si="21"/>
        <v>0</v>
      </c>
      <c r="AE51" s="26">
        <f t="shared" si="21"/>
        <v>0</v>
      </c>
      <c r="AF51" s="26">
        <f t="shared" si="21"/>
        <v>0</v>
      </c>
      <c r="AG51" s="26">
        <f t="shared" si="21"/>
        <v>0</v>
      </c>
      <c r="AH51" s="26">
        <f t="shared" si="21"/>
        <v>2</v>
      </c>
      <c r="AI51" s="26">
        <f t="shared" si="21"/>
        <v>0</v>
      </c>
      <c r="AJ51" s="26">
        <f t="shared" si="21"/>
        <v>0</v>
      </c>
      <c r="AK51" s="26">
        <f t="shared" si="21"/>
        <v>0</v>
      </c>
      <c r="AL51" s="26">
        <f t="shared" si="21"/>
        <v>0</v>
      </c>
      <c r="AM51" s="26">
        <f t="shared" si="21"/>
        <v>0</v>
      </c>
      <c r="AN51" s="26">
        <f t="shared" si="21"/>
        <v>0</v>
      </c>
      <c r="AO51" s="26">
        <f t="shared" si="21"/>
        <v>0</v>
      </c>
      <c r="AP51" s="26">
        <f t="shared" si="21"/>
        <v>2</v>
      </c>
      <c r="AQ51" s="26">
        <f t="shared" si="21"/>
        <v>0</v>
      </c>
      <c r="AR51" s="26">
        <f t="shared" si="21"/>
        <v>0</v>
      </c>
      <c r="AS51" s="26">
        <f t="shared" si="21"/>
        <v>0</v>
      </c>
      <c r="AV51" s="26">
        <f>D51-Z51</f>
        <v>0</v>
      </c>
      <c r="AW51" s="26">
        <f t="shared" si="2"/>
        <v>0</v>
      </c>
      <c r="AX51" s="26">
        <f t="shared" si="2"/>
        <v>0</v>
      </c>
      <c r="AY51" s="26">
        <f t="shared" si="2"/>
        <v>0</v>
      </c>
      <c r="AZ51" s="26">
        <f t="shared" si="2"/>
        <v>0</v>
      </c>
      <c r="BA51" s="26">
        <f t="shared" si="2"/>
        <v>0</v>
      </c>
      <c r="BB51" s="26">
        <f t="shared" si="2"/>
        <v>0</v>
      </c>
      <c r="BC51" s="26">
        <f t="shared" si="2"/>
        <v>0</v>
      </c>
      <c r="BD51" s="26">
        <f t="shared" si="2"/>
        <v>0</v>
      </c>
      <c r="BE51" s="26">
        <f t="shared" si="2"/>
        <v>0</v>
      </c>
      <c r="BF51" s="26">
        <f t="shared" si="2"/>
        <v>0</v>
      </c>
      <c r="BG51" s="26">
        <f t="shared" si="2"/>
        <v>0</v>
      </c>
      <c r="BH51" s="26">
        <f t="shared" si="2"/>
        <v>0</v>
      </c>
      <c r="BI51" s="26">
        <f t="shared" si="2"/>
        <v>0</v>
      </c>
      <c r="BJ51" s="26">
        <f t="shared" si="2"/>
        <v>0</v>
      </c>
      <c r="BK51" s="26">
        <f t="shared" si="2"/>
        <v>0</v>
      </c>
      <c r="BL51" s="26">
        <f t="shared" si="2"/>
        <v>0</v>
      </c>
      <c r="BM51" s="26">
        <f t="shared" si="2"/>
        <v>0</v>
      </c>
      <c r="BN51" s="26">
        <f t="shared" si="2"/>
        <v>0</v>
      </c>
      <c r="BO51" s="26">
        <f t="shared" si="2"/>
        <v>0</v>
      </c>
    </row>
    <row r="52" spans="1:68" x14ac:dyDescent="0.35">
      <c r="A52" s="7" t="str">
        <v>Serving - Call session control function software</v>
      </c>
      <c r="C52" s="9">
        <v>8</v>
      </c>
      <c r="D52" s="26">
        <f t="shared" si="7"/>
        <v>1714</v>
      </c>
      <c r="E52" s="26">
        <f t="shared" ref="E52:W52" si="22">MAX(E25-D96,0)</f>
        <v>0</v>
      </c>
      <c r="F52" s="26">
        <f t="shared" si="22"/>
        <v>0</v>
      </c>
      <c r="G52" s="26">
        <f t="shared" si="22"/>
        <v>0</v>
      </c>
      <c r="H52" s="26">
        <f t="shared" si="22"/>
        <v>0</v>
      </c>
      <c r="I52" s="26">
        <f t="shared" si="22"/>
        <v>0</v>
      </c>
      <c r="J52" s="26">
        <f t="shared" si="22"/>
        <v>0</v>
      </c>
      <c r="K52" s="26">
        <f t="shared" si="22"/>
        <v>0</v>
      </c>
      <c r="L52" s="26">
        <f t="shared" si="22"/>
        <v>758</v>
      </c>
      <c r="M52" s="26">
        <f t="shared" si="22"/>
        <v>0</v>
      </c>
      <c r="N52" s="26">
        <f t="shared" si="22"/>
        <v>0</v>
      </c>
      <c r="O52" s="26">
        <f t="shared" si="22"/>
        <v>0</v>
      </c>
      <c r="P52" s="26">
        <f t="shared" si="22"/>
        <v>0</v>
      </c>
      <c r="Q52" s="26">
        <f t="shared" si="22"/>
        <v>0</v>
      </c>
      <c r="R52" s="26">
        <f t="shared" si="22"/>
        <v>0</v>
      </c>
      <c r="S52" s="26">
        <f t="shared" si="22"/>
        <v>0</v>
      </c>
      <c r="T52" s="26">
        <f t="shared" si="22"/>
        <v>340</v>
      </c>
      <c r="U52" s="26">
        <f t="shared" si="22"/>
        <v>0</v>
      </c>
      <c r="V52" s="26">
        <f t="shared" si="22"/>
        <v>0</v>
      </c>
      <c r="W52" s="26">
        <f t="shared" si="22"/>
        <v>0</v>
      </c>
      <c r="Z52" s="26">
        <f t="shared" si="4"/>
        <v>1266</v>
      </c>
      <c r="AA52" s="26">
        <f t="shared" ref="AA52:AS52" si="23">MAX(AA25-Z96,0)</f>
        <v>0</v>
      </c>
      <c r="AB52" s="26">
        <f t="shared" si="23"/>
        <v>0</v>
      </c>
      <c r="AC52" s="26">
        <f t="shared" si="23"/>
        <v>0</v>
      </c>
      <c r="AD52" s="26">
        <f t="shared" si="23"/>
        <v>0</v>
      </c>
      <c r="AE52" s="26">
        <f t="shared" si="23"/>
        <v>0</v>
      </c>
      <c r="AF52" s="26">
        <f t="shared" si="23"/>
        <v>0</v>
      </c>
      <c r="AG52" s="26">
        <f t="shared" si="23"/>
        <v>0</v>
      </c>
      <c r="AH52" s="26">
        <f t="shared" si="23"/>
        <v>528</v>
      </c>
      <c r="AI52" s="26">
        <f t="shared" si="23"/>
        <v>0</v>
      </c>
      <c r="AJ52" s="26">
        <f t="shared" si="23"/>
        <v>0</v>
      </c>
      <c r="AK52" s="26">
        <f t="shared" si="23"/>
        <v>0</v>
      </c>
      <c r="AL52" s="26">
        <f t="shared" si="23"/>
        <v>0</v>
      </c>
      <c r="AM52" s="26">
        <f t="shared" si="23"/>
        <v>0</v>
      </c>
      <c r="AN52" s="26">
        <f t="shared" si="23"/>
        <v>0</v>
      </c>
      <c r="AO52" s="26">
        <f t="shared" si="23"/>
        <v>0</v>
      </c>
      <c r="AP52" s="26">
        <f t="shared" si="23"/>
        <v>236</v>
      </c>
      <c r="AQ52" s="26">
        <f t="shared" si="23"/>
        <v>0</v>
      </c>
      <c r="AR52" s="26">
        <f t="shared" si="23"/>
        <v>0</v>
      </c>
      <c r="AS52" s="26">
        <f t="shared" si="23"/>
        <v>0</v>
      </c>
      <c r="AV52" s="26">
        <f t="shared" si="6"/>
        <v>448</v>
      </c>
      <c r="AW52" s="26">
        <f t="shared" si="2"/>
        <v>0</v>
      </c>
      <c r="AX52" s="26">
        <f t="shared" si="2"/>
        <v>0</v>
      </c>
      <c r="AY52" s="26">
        <f t="shared" si="2"/>
        <v>0</v>
      </c>
      <c r="AZ52" s="26">
        <f t="shared" si="2"/>
        <v>0</v>
      </c>
      <c r="BA52" s="26">
        <f t="shared" si="2"/>
        <v>0</v>
      </c>
      <c r="BB52" s="26">
        <f t="shared" si="2"/>
        <v>0</v>
      </c>
      <c r="BC52" s="26">
        <f t="shared" si="2"/>
        <v>0</v>
      </c>
      <c r="BD52" s="26">
        <f t="shared" si="2"/>
        <v>230</v>
      </c>
      <c r="BE52" s="26">
        <f t="shared" si="2"/>
        <v>0</v>
      </c>
      <c r="BF52" s="26">
        <f t="shared" si="2"/>
        <v>0</v>
      </c>
      <c r="BG52" s="26">
        <f t="shared" si="2"/>
        <v>0</v>
      </c>
      <c r="BH52" s="26">
        <f t="shared" si="2"/>
        <v>0</v>
      </c>
      <c r="BI52" s="26">
        <f t="shared" si="2"/>
        <v>0</v>
      </c>
      <c r="BJ52" s="26">
        <f t="shared" si="2"/>
        <v>0</v>
      </c>
      <c r="BK52" s="26">
        <f t="shared" si="2"/>
        <v>0</v>
      </c>
      <c r="BL52" s="26">
        <f t="shared" si="2"/>
        <v>104</v>
      </c>
      <c r="BM52" s="26">
        <f t="shared" si="2"/>
        <v>0</v>
      </c>
      <c r="BN52" s="26">
        <f t="shared" si="2"/>
        <v>0</v>
      </c>
      <c r="BO52" s="26">
        <f t="shared" si="2"/>
        <v>0</v>
      </c>
    </row>
    <row r="53" spans="1:68" x14ac:dyDescent="0.35">
      <c r="A53" s="7" t="str">
        <v>Media resource function - hardware</v>
      </c>
      <c r="C53" s="9">
        <v>8</v>
      </c>
      <c r="D53" s="26">
        <f t="shared" si="7"/>
        <v>14</v>
      </c>
      <c r="E53" s="26">
        <f t="shared" ref="E53:W53" si="24">MAX(E26-D97,0)</f>
        <v>0</v>
      </c>
      <c r="F53" s="26">
        <f t="shared" si="24"/>
        <v>0</v>
      </c>
      <c r="G53" s="26">
        <f t="shared" si="24"/>
        <v>0</v>
      </c>
      <c r="H53" s="26">
        <f t="shared" si="24"/>
        <v>0</v>
      </c>
      <c r="I53" s="26">
        <f t="shared" si="24"/>
        <v>0</v>
      </c>
      <c r="J53" s="26">
        <f t="shared" si="24"/>
        <v>0</v>
      </c>
      <c r="K53" s="26">
        <f t="shared" si="24"/>
        <v>0</v>
      </c>
      <c r="L53" s="26">
        <f t="shared" si="24"/>
        <v>6</v>
      </c>
      <c r="M53" s="26">
        <f t="shared" si="24"/>
        <v>0</v>
      </c>
      <c r="N53" s="26">
        <f t="shared" si="24"/>
        <v>0</v>
      </c>
      <c r="O53" s="26">
        <f t="shared" si="24"/>
        <v>0</v>
      </c>
      <c r="P53" s="26">
        <f t="shared" si="24"/>
        <v>0</v>
      </c>
      <c r="Q53" s="26">
        <f t="shared" si="24"/>
        <v>0</v>
      </c>
      <c r="R53" s="26">
        <f t="shared" si="24"/>
        <v>0</v>
      </c>
      <c r="S53" s="26">
        <f t="shared" si="24"/>
        <v>0</v>
      </c>
      <c r="T53" s="26">
        <f t="shared" si="24"/>
        <v>4</v>
      </c>
      <c r="U53" s="26">
        <f t="shared" si="24"/>
        <v>0</v>
      </c>
      <c r="V53" s="26">
        <f t="shared" si="24"/>
        <v>0</v>
      </c>
      <c r="W53" s="26">
        <f t="shared" si="24"/>
        <v>0</v>
      </c>
      <c r="Z53" s="26">
        <f t="shared" si="4"/>
        <v>10</v>
      </c>
      <c r="AA53" s="26">
        <f t="shared" ref="AA53:AS53" si="25">MAX(AA26-Z97,0)</f>
        <v>0</v>
      </c>
      <c r="AB53" s="26">
        <f t="shared" si="25"/>
        <v>0</v>
      </c>
      <c r="AC53" s="26">
        <f t="shared" si="25"/>
        <v>0</v>
      </c>
      <c r="AD53" s="26">
        <f t="shared" si="25"/>
        <v>0</v>
      </c>
      <c r="AE53" s="26">
        <f t="shared" si="25"/>
        <v>0</v>
      </c>
      <c r="AF53" s="26">
        <f t="shared" si="25"/>
        <v>0</v>
      </c>
      <c r="AG53" s="26">
        <f t="shared" si="25"/>
        <v>0</v>
      </c>
      <c r="AH53" s="26">
        <f t="shared" si="25"/>
        <v>4</v>
      </c>
      <c r="AI53" s="26">
        <f t="shared" si="25"/>
        <v>0</v>
      </c>
      <c r="AJ53" s="26">
        <f t="shared" si="25"/>
        <v>0</v>
      </c>
      <c r="AK53" s="26">
        <f t="shared" si="25"/>
        <v>0</v>
      </c>
      <c r="AL53" s="26">
        <f t="shared" si="25"/>
        <v>0</v>
      </c>
      <c r="AM53" s="26">
        <f t="shared" si="25"/>
        <v>0</v>
      </c>
      <c r="AN53" s="26">
        <f t="shared" si="25"/>
        <v>0</v>
      </c>
      <c r="AO53" s="26">
        <f t="shared" si="25"/>
        <v>0</v>
      </c>
      <c r="AP53" s="26">
        <f t="shared" si="25"/>
        <v>2</v>
      </c>
      <c r="AQ53" s="26">
        <f t="shared" si="25"/>
        <v>0</v>
      </c>
      <c r="AR53" s="26">
        <f t="shared" si="25"/>
        <v>0</v>
      </c>
      <c r="AS53" s="26">
        <f t="shared" si="25"/>
        <v>0</v>
      </c>
      <c r="AV53" s="26">
        <f t="shared" si="6"/>
        <v>4</v>
      </c>
      <c r="AW53" s="26">
        <f t="shared" si="2"/>
        <v>0</v>
      </c>
      <c r="AX53" s="26">
        <f t="shared" si="2"/>
        <v>0</v>
      </c>
      <c r="AY53" s="26">
        <f t="shared" si="2"/>
        <v>0</v>
      </c>
      <c r="AZ53" s="26">
        <f t="shared" si="2"/>
        <v>0</v>
      </c>
      <c r="BA53" s="26">
        <f t="shared" si="2"/>
        <v>0</v>
      </c>
      <c r="BB53" s="26">
        <f t="shared" si="2"/>
        <v>0</v>
      </c>
      <c r="BC53" s="26">
        <f t="shared" si="2"/>
        <v>0</v>
      </c>
      <c r="BD53" s="26">
        <f t="shared" si="2"/>
        <v>2</v>
      </c>
      <c r="BE53" s="26">
        <f t="shared" si="2"/>
        <v>0</v>
      </c>
      <c r="BF53" s="26">
        <f t="shared" si="2"/>
        <v>0</v>
      </c>
      <c r="BG53" s="26">
        <f t="shared" si="2"/>
        <v>0</v>
      </c>
      <c r="BH53" s="26">
        <f t="shared" si="2"/>
        <v>0</v>
      </c>
      <c r="BI53" s="26">
        <f t="shared" si="2"/>
        <v>0</v>
      </c>
      <c r="BJ53" s="26">
        <f t="shared" si="2"/>
        <v>0</v>
      </c>
      <c r="BK53" s="26">
        <f t="shared" si="2"/>
        <v>0</v>
      </c>
      <c r="BL53" s="26">
        <f t="shared" si="2"/>
        <v>2</v>
      </c>
      <c r="BM53" s="26">
        <f t="shared" si="2"/>
        <v>0</v>
      </c>
      <c r="BN53" s="26">
        <f t="shared" si="2"/>
        <v>0</v>
      </c>
      <c r="BO53" s="26">
        <f t="shared" si="2"/>
        <v>0</v>
      </c>
    </row>
    <row r="54" spans="1:68" x14ac:dyDescent="0.35">
      <c r="A54" s="7" t="str">
        <v>Media resource function - software</v>
      </c>
      <c r="C54" s="9">
        <v>8</v>
      </c>
      <c r="D54" s="26">
        <f t="shared" si="7"/>
        <v>142152</v>
      </c>
      <c r="E54" s="26">
        <f t="shared" ref="E54:W54" si="26">MAX(E27-D98,0)</f>
        <v>0</v>
      </c>
      <c r="F54" s="26">
        <f t="shared" si="26"/>
        <v>0</v>
      </c>
      <c r="G54" s="26">
        <f t="shared" si="26"/>
        <v>0</v>
      </c>
      <c r="H54" s="26">
        <f t="shared" si="26"/>
        <v>0</v>
      </c>
      <c r="I54" s="26">
        <f t="shared" si="26"/>
        <v>0</v>
      </c>
      <c r="J54" s="26">
        <f t="shared" si="26"/>
        <v>0</v>
      </c>
      <c r="K54" s="26">
        <f t="shared" si="26"/>
        <v>0</v>
      </c>
      <c r="L54" s="26">
        <f t="shared" si="26"/>
        <v>61638</v>
      </c>
      <c r="M54" s="26">
        <f t="shared" si="26"/>
        <v>0</v>
      </c>
      <c r="N54" s="26">
        <f t="shared" si="26"/>
        <v>0</v>
      </c>
      <c r="O54" s="26">
        <f t="shared" si="26"/>
        <v>0</v>
      </c>
      <c r="P54" s="26">
        <f t="shared" si="26"/>
        <v>0</v>
      </c>
      <c r="Q54" s="26">
        <f t="shared" si="26"/>
        <v>0</v>
      </c>
      <c r="R54" s="26">
        <f t="shared" si="26"/>
        <v>0</v>
      </c>
      <c r="S54" s="26">
        <f t="shared" si="26"/>
        <v>0</v>
      </c>
      <c r="T54" s="26">
        <f t="shared" si="26"/>
        <v>27606</v>
      </c>
      <c r="U54" s="26">
        <f t="shared" si="26"/>
        <v>0</v>
      </c>
      <c r="V54" s="26">
        <f t="shared" si="26"/>
        <v>0</v>
      </c>
      <c r="W54" s="26">
        <f t="shared" si="26"/>
        <v>0</v>
      </c>
      <c r="Z54" s="26">
        <f t="shared" si="4"/>
        <v>110792</v>
      </c>
      <c r="AA54" s="26">
        <f t="shared" ref="AA54:AS54" si="27">MAX(AA27-Z98,0)</f>
        <v>0</v>
      </c>
      <c r="AB54" s="26">
        <f t="shared" si="27"/>
        <v>0</v>
      </c>
      <c r="AC54" s="26">
        <f t="shared" si="27"/>
        <v>0</v>
      </c>
      <c r="AD54" s="26">
        <f t="shared" si="27"/>
        <v>0</v>
      </c>
      <c r="AE54" s="26">
        <f t="shared" si="27"/>
        <v>0</v>
      </c>
      <c r="AF54" s="26">
        <f t="shared" si="27"/>
        <v>0</v>
      </c>
      <c r="AG54" s="26">
        <f t="shared" si="27"/>
        <v>0</v>
      </c>
      <c r="AH54" s="26">
        <f t="shared" si="27"/>
        <v>45580</v>
      </c>
      <c r="AI54" s="26">
        <f t="shared" si="27"/>
        <v>0</v>
      </c>
      <c r="AJ54" s="26">
        <f t="shared" si="27"/>
        <v>0</v>
      </c>
      <c r="AK54" s="26">
        <f t="shared" si="27"/>
        <v>0</v>
      </c>
      <c r="AL54" s="26">
        <f t="shared" si="27"/>
        <v>0</v>
      </c>
      <c r="AM54" s="26">
        <f t="shared" si="27"/>
        <v>0</v>
      </c>
      <c r="AN54" s="26">
        <f t="shared" si="27"/>
        <v>0</v>
      </c>
      <c r="AO54" s="26">
        <f t="shared" si="27"/>
        <v>0</v>
      </c>
      <c r="AP54" s="26">
        <f t="shared" si="27"/>
        <v>20414</v>
      </c>
      <c r="AQ54" s="26">
        <f t="shared" si="27"/>
        <v>0</v>
      </c>
      <c r="AR54" s="26">
        <f t="shared" si="27"/>
        <v>0</v>
      </c>
      <c r="AS54" s="26">
        <f t="shared" si="27"/>
        <v>0</v>
      </c>
      <c r="AV54" s="26">
        <f t="shared" si="6"/>
        <v>31360</v>
      </c>
      <c r="AW54" s="26">
        <f t="shared" si="2"/>
        <v>0</v>
      </c>
      <c r="AX54" s="26">
        <f t="shared" si="2"/>
        <v>0</v>
      </c>
      <c r="AY54" s="26">
        <f t="shared" si="2"/>
        <v>0</v>
      </c>
      <c r="AZ54" s="26">
        <f t="shared" si="2"/>
        <v>0</v>
      </c>
      <c r="BA54" s="26">
        <f t="shared" si="2"/>
        <v>0</v>
      </c>
      <c r="BB54" s="26">
        <f t="shared" si="2"/>
        <v>0</v>
      </c>
      <c r="BC54" s="26">
        <f t="shared" si="2"/>
        <v>0</v>
      </c>
      <c r="BD54" s="26">
        <f t="shared" si="2"/>
        <v>16058</v>
      </c>
      <c r="BE54" s="26">
        <f t="shared" si="2"/>
        <v>0</v>
      </c>
      <c r="BF54" s="26">
        <f t="shared" si="2"/>
        <v>0</v>
      </c>
      <c r="BG54" s="26">
        <f t="shared" si="2"/>
        <v>0</v>
      </c>
      <c r="BH54" s="26">
        <f t="shared" si="2"/>
        <v>0</v>
      </c>
      <c r="BI54" s="26">
        <f t="shared" si="2"/>
        <v>0</v>
      </c>
      <c r="BJ54" s="26">
        <f t="shared" si="2"/>
        <v>0</v>
      </c>
      <c r="BK54" s="26">
        <f t="shared" si="2"/>
        <v>0</v>
      </c>
      <c r="BL54" s="26">
        <f t="shared" si="2"/>
        <v>7192</v>
      </c>
      <c r="BM54" s="26">
        <f t="shared" si="2"/>
        <v>0</v>
      </c>
      <c r="BN54" s="26">
        <f t="shared" si="2"/>
        <v>0</v>
      </c>
      <c r="BO54" s="26">
        <f t="shared" si="2"/>
        <v>0</v>
      </c>
    </row>
    <row r="55" spans="1:68" x14ac:dyDescent="0.35">
      <c r="A55" s="7" t="str">
        <v>Access session border controller - hardware</v>
      </c>
      <c r="C55" s="9">
        <v>8</v>
      </c>
      <c r="D55" s="26">
        <f t="shared" si="7"/>
        <v>6</v>
      </c>
      <c r="E55" s="26">
        <f t="shared" ref="E55:W55" si="28">MAX(E28-D99,0)</f>
        <v>0</v>
      </c>
      <c r="F55" s="26">
        <f t="shared" si="28"/>
        <v>0</v>
      </c>
      <c r="G55" s="26">
        <f t="shared" si="28"/>
        <v>0</v>
      </c>
      <c r="H55" s="26">
        <f t="shared" si="28"/>
        <v>0</v>
      </c>
      <c r="I55" s="26">
        <f t="shared" si="28"/>
        <v>0</v>
      </c>
      <c r="J55" s="26">
        <f t="shared" si="28"/>
        <v>0</v>
      </c>
      <c r="K55" s="26">
        <f t="shared" si="28"/>
        <v>0</v>
      </c>
      <c r="L55" s="26">
        <f t="shared" si="28"/>
        <v>2</v>
      </c>
      <c r="M55" s="26">
        <f t="shared" si="28"/>
        <v>0</v>
      </c>
      <c r="N55" s="26">
        <f t="shared" si="28"/>
        <v>0</v>
      </c>
      <c r="O55" s="26">
        <f t="shared" si="28"/>
        <v>0</v>
      </c>
      <c r="P55" s="26">
        <f t="shared" si="28"/>
        <v>0</v>
      </c>
      <c r="Q55" s="26">
        <f t="shared" si="28"/>
        <v>0</v>
      </c>
      <c r="R55" s="26">
        <f t="shared" si="28"/>
        <v>0</v>
      </c>
      <c r="S55" s="26">
        <f t="shared" si="28"/>
        <v>0</v>
      </c>
      <c r="T55" s="26">
        <f t="shared" si="28"/>
        <v>2</v>
      </c>
      <c r="U55" s="26">
        <f t="shared" si="28"/>
        <v>0</v>
      </c>
      <c r="V55" s="26">
        <f t="shared" si="28"/>
        <v>0</v>
      </c>
      <c r="W55" s="26">
        <f t="shared" si="28"/>
        <v>0</v>
      </c>
      <c r="Z55" s="26">
        <f t="shared" si="4"/>
        <v>4</v>
      </c>
      <c r="AA55" s="26">
        <f t="shared" ref="AA55:AS55" si="29">MAX(AA28-Z99,0)</f>
        <v>0</v>
      </c>
      <c r="AB55" s="26">
        <f t="shared" si="29"/>
        <v>0</v>
      </c>
      <c r="AC55" s="26">
        <f t="shared" si="29"/>
        <v>0</v>
      </c>
      <c r="AD55" s="26">
        <f t="shared" si="29"/>
        <v>0</v>
      </c>
      <c r="AE55" s="26">
        <f t="shared" si="29"/>
        <v>0</v>
      </c>
      <c r="AF55" s="26">
        <f t="shared" si="29"/>
        <v>0</v>
      </c>
      <c r="AG55" s="26">
        <f t="shared" si="29"/>
        <v>0</v>
      </c>
      <c r="AH55" s="26">
        <f t="shared" si="29"/>
        <v>2</v>
      </c>
      <c r="AI55" s="26">
        <f t="shared" si="29"/>
        <v>0</v>
      </c>
      <c r="AJ55" s="26">
        <f t="shared" si="29"/>
        <v>0</v>
      </c>
      <c r="AK55" s="26">
        <f t="shared" si="29"/>
        <v>0</v>
      </c>
      <c r="AL55" s="26">
        <f t="shared" si="29"/>
        <v>0</v>
      </c>
      <c r="AM55" s="26">
        <f t="shared" si="29"/>
        <v>0</v>
      </c>
      <c r="AN55" s="26">
        <f t="shared" si="29"/>
        <v>0</v>
      </c>
      <c r="AO55" s="26">
        <f t="shared" si="29"/>
        <v>0</v>
      </c>
      <c r="AP55" s="26">
        <f t="shared" si="29"/>
        <v>2</v>
      </c>
      <c r="AQ55" s="26">
        <f t="shared" si="29"/>
        <v>0</v>
      </c>
      <c r="AR55" s="26">
        <f t="shared" si="29"/>
        <v>0</v>
      </c>
      <c r="AS55" s="26">
        <f t="shared" si="29"/>
        <v>0</v>
      </c>
      <c r="AV55" s="26">
        <f t="shared" si="6"/>
        <v>2</v>
      </c>
      <c r="AW55" s="26">
        <f t="shared" si="2"/>
        <v>0</v>
      </c>
      <c r="AX55" s="26">
        <f t="shared" si="2"/>
        <v>0</v>
      </c>
      <c r="AY55" s="26">
        <f t="shared" si="2"/>
        <v>0</v>
      </c>
      <c r="AZ55" s="26">
        <f t="shared" si="2"/>
        <v>0</v>
      </c>
      <c r="BA55" s="26">
        <f t="shared" si="2"/>
        <v>0</v>
      </c>
      <c r="BB55" s="26">
        <f t="shared" si="2"/>
        <v>0</v>
      </c>
      <c r="BC55" s="26">
        <f t="shared" si="2"/>
        <v>0</v>
      </c>
      <c r="BD55" s="26">
        <f t="shared" si="2"/>
        <v>0</v>
      </c>
      <c r="BE55" s="26">
        <f t="shared" si="2"/>
        <v>0</v>
      </c>
      <c r="BF55" s="26">
        <f t="shared" si="2"/>
        <v>0</v>
      </c>
      <c r="BG55" s="26">
        <f t="shared" si="2"/>
        <v>0</v>
      </c>
      <c r="BH55" s="26">
        <f t="shared" si="2"/>
        <v>0</v>
      </c>
      <c r="BI55" s="26">
        <f t="shared" si="2"/>
        <v>0</v>
      </c>
      <c r="BJ55" s="26">
        <f t="shared" si="2"/>
        <v>0</v>
      </c>
      <c r="BK55" s="26">
        <f t="shared" si="2"/>
        <v>0</v>
      </c>
      <c r="BL55" s="26">
        <f t="shared" si="2"/>
        <v>0</v>
      </c>
      <c r="BM55" s="26">
        <f t="shared" si="2"/>
        <v>0</v>
      </c>
      <c r="BN55" s="26">
        <f t="shared" si="2"/>
        <v>0</v>
      </c>
      <c r="BO55" s="26">
        <f t="shared" si="2"/>
        <v>0</v>
      </c>
    </row>
    <row r="56" spans="1:68" x14ac:dyDescent="0.35">
      <c r="A56" s="7" t="str">
        <v>Access session border controller - software</v>
      </c>
      <c r="C56" s="9">
        <v>8</v>
      </c>
      <c r="D56" s="26">
        <f t="shared" si="7"/>
        <v>10</v>
      </c>
      <c r="E56" s="26">
        <f t="shared" ref="E56:W56" si="30">MAX(E29-D100,0)</f>
        <v>0</v>
      </c>
      <c r="F56" s="26">
        <f t="shared" si="30"/>
        <v>0</v>
      </c>
      <c r="G56" s="26">
        <f t="shared" si="30"/>
        <v>0</v>
      </c>
      <c r="H56" s="26">
        <f t="shared" si="30"/>
        <v>0</v>
      </c>
      <c r="I56" s="26">
        <f t="shared" si="30"/>
        <v>0</v>
      </c>
      <c r="J56" s="26">
        <f t="shared" si="30"/>
        <v>0</v>
      </c>
      <c r="K56" s="26">
        <f t="shared" si="30"/>
        <v>0</v>
      </c>
      <c r="L56" s="26">
        <f t="shared" si="30"/>
        <v>4</v>
      </c>
      <c r="M56" s="26">
        <f t="shared" si="30"/>
        <v>0</v>
      </c>
      <c r="N56" s="26">
        <f t="shared" si="30"/>
        <v>0</v>
      </c>
      <c r="O56" s="26">
        <f t="shared" si="30"/>
        <v>0</v>
      </c>
      <c r="P56" s="26">
        <f t="shared" si="30"/>
        <v>0</v>
      </c>
      <c r="Q56" s="26">
        <f t="shared" si="30"/>
        <v>0</v>
      </c>
      <c r="R56" s="26">
        <f t="shared" si="30"/>
        <v>0</v>
      </c>
      <c r="S56" s="26">
        <f t="shared" si="30"/>
        <v>0</v>
      </c>
      <c r="T56" s="26">
        <f t="shared" si="30"/>
        <v>2</v>
      </c>
      <c r="U56" s="26">
        <f t="shared" si="30"/>
        <v>0</v>
      </c>
      <c r="V56" s="26">
        <f t="shared" si="30"/>
        <v>0</v>
      </c>
      <c r="W56" s="26">
        <f t="shared" si="30"/>
        <v>0</v>
      </c>
      <c r="Z56" s="26">
        <f t="shared" si="4"/>
        <v>8</v>
      </c>
      <c r="AA56" s="26">
        <f t="shared" ref="AA56:AS56" si="31">MAX(AA29-Z100,0)</f>
        <v>0</v>
      </c>
      <c r="AB56" s="26">
        <f t="shared" si="31"/>
        <v>0</v>
      </c>
      <c r="AC56" s="26">
        <f t="shared" si="31"/>
        <v>0</v>
      </c>
      <c r="AD56" s="26">
        <f t="shared" si="31"/>
        <v>0</v>
      </c>
      <c r="AE56" s="26">
        <f t="shared" si="31"/>
        <v>0</v>
      </c>
      <c r="AF56" s="26">
        <f t="shared" si="31"/>
        <v>0</v>
      </c>
      <c r="AG56" s="26">
        <f t="shared" si="31"/>
        <v>0</v>
      </c>
      <c r="AH56" s="26">
        <f t="shared" si="31"/>
        <v>4</v>
      </c>
      <c r="AI56" s="26">
        <f t="shared" si="31"/>
        <v>0</v>
      </c>
      <c r="AJ56" s="26">
        <f t="shared" si="31"/>
        <v>0</v>
      </c>
      <c r="AK56" s="26">
        <f t="shared" si="31"/>
        <v>0</v>
      </c>
      <c r="AL56" s="26">
        <f t="shared" si="31"/>
        <v>0</v>
      </c>
      <c r="AM56" s="26">
        <f t="shared" si="31"/>
        <v>0</v>
      </c>
      <c r="AN56" s="26">
        <f t="shared" si="31"/>
        <v>0</v>
      </c>
      <c r="AO56" s="26">
        <f t="shared" si="31"/>
        <v>0</v>
      </c>
      <c r="AP56" s="26">
        <f t="shared" si="31"/>
        <v>2</v>
      </c>
      <c r="AQ56" s="26">
        <f t="shared" si="31"/>
        <v>0</v>
      </c>
      <c r="AR56" s="26">
        <f t="shared" si="31"/>
        <v>0</v>
      </c>
      <c r="AS56" s="26">
        <f t="shared" si="31"/>
        <v>0</v>
      </c>
      <c r="AV56" s="26">
        <f t="shared" si="6"/>
        <v>2</v>
      </c>
      <c r="AW56" s="26">
        <f t="shared" si="2"/>
        <v>0</v>
      </c>
      <c r="AX56" s="26">
        <f t="shared" si="2"/>
        <v>0</v>
      </c>
      <c r="AY56" s="26">
        <f t="shared" si="2"/>
        <v>0</v>
      </c>
      <c r="AZ56" s="26">
        <f t="shared" si="2"/>
        <v>0</v>
      </c>
      <c r="BA56" s="26">
        <f t="shared" si="2"/>
        <v>0</v>
      </c>
      <c r="BB56" s="26">
        <f t="shared" si="2"/>
        <v>0</v>
      </c>
      <c r="BC56" s="26">
        <f t="shared" si="2"/>
        <v>0</v>
      </c>
      <c r="BD56" s="26">
        <f t="shared" si="2"/>
        <v>0</v>
      </c>
      <c r="BE56" s="26">
        <f t="shared" ref="BE56:BE58" si="32">M56-AI56</f>
        <v>0</v>
      </c>
      <c r="BF56" s="26">
        <f t="shared" ref="BF56:BF58" si="33">N56-AJ56</f>
        <v>0</v>
      </c>
      <c r="BG56" s="26">
        <f t="shared" ref="BG56:BG58" si="34">O56-AK56</f>
        <v>0</v>
      </c>
      <c r="BH56" s="26">
        <f t="shared" ref="BH56:BH58" si="35">P56-AL56</f>
        <v>0</v>
      </c>
      <c r="BI56" s="26">
        <f t="shared" ref="BI56:BI58" si="36">Q56-AM56</f>
        <v>0</v>
      </c>
      <c r="BJ56" s="26">
        <f t="shared" ref="BJ56:BJ58" si="37">R56-AN56</f>
        <v>0</v>
      </c>
      <c r="BK56" s="26">
        <f t="shared" ref="BK56:BK58" si="38">S56-AO56</f>
        <v>0</v>
      </c>
      <c r="BL56" s="26">
        <f t="shared" ref="BL56:BL58" si="39">T56-AP56</f>
        <v>0</v>
      </c>
      <c r="BM56" s="26">
        <f t="shared" ref="BM56:BM58" si="40">U56-AQ56</f>
        <v>0</v>
      </c>
      <c r="BN56" s="26">
        <f t="shared" ref="BN56:BN58" si="41">V56-AR56</f>
        <v>0</v>
      </c>
      <c r="BO56" s="26">
        <f t="shared" ref="BO56:BO58" si="42">W56-AS56</f>
        <v>0</v>
      </c>
    </row>
    <row r="57" spans="1:68" x14ac:dyDescent="0.35">
      <c r="A57" s="7" t="str">
        <v>Internet exchange point session border controller - hardware</v>
      </c>
      <c r="C57" s="9">
        <v>8</v>
      </c>
      <c r="D57" s="26">
        <f t="shared" si="7"/>
        <v>4</v>
      </c>
      <c r="E57" s="26">
        <f t="shared" ref="E57:W57" si="43">MAX(E30-D101,0)</f>
        <v>0</v>
      </c>
      <c r="F57" s="26">
        <f t="shared" si="43"/>
        <v>0</v>
      </c>
      <c r="G57" s="26">
        <f t="shared" si="43"/>
        <v>0</v>
      </c>
      <c r="H57" s="26">
        <f t="shared" si="43"/>
        <v>0</v>
      </c>
      <c r="I57" s="26">
        <f t="shared" si="43"/>
        <v>0</v>
      </c>
      <c r="J57" s="26">
        <f t="shared" si="43"/>
        <v>0</v>
      </c>
      <c r="K57" s="26">
        <f t="shared" si="43"/>
        <v>0</v>
      </c>
      <c r="L57" s="26">
        <f t="shared" si="43"/>
        <v>2</v>
      </c>
      <c r="M57" s="26">
        <f t="shared" si="43"/>
        <v>0</v>
      </c>
      <c r="N57" s="26">
        <f t="shared" si="43"/>
        <v>0</v>
      </c>
      <c r="O57" s="26">
        <f t="shared" si="43"/>
        <v>0</v>
      </c>
      <c r="P57" s="26">
        <f t="shared" si="43"/>
        <v>0</v>
      </c>
      <c r="Q57" s="26">
        <f t="shared" si="43"/>
        <v>0</v>
      </c>
      <c r="R57" s="26">
        <f t="shared" si="43"/>
        <v>0</v>
      </c>
      <c r="S57" s="26">
        <f t="shared" si="43"/>
        <v>0</v>
      </c>
      <c r="T57" s="26">
        <f t="shared" si="43"/>
        <v>2</v>
      </c>
      <c r="U57" s="26">
        <f t="shared" si="43"/>
        <v>0</v>
      </c>
      <c r="V57" s="26">
        <f t="shared" si="43"/>
        <v>0</v>
      </c>
      <c r="W57" s="26">
        <f t="shared" si="43"/>
        <v>0</v>
      </c>
      <c r="Z57" s="26">
        <f t="shared" si="4"/>
        <v>4</v>
      </c>
      <c r="AA57" s="26">
        <f t="shared" ref="AA57:AS57" si="44">MAX(AA30-Z101,0)</f>
        <v>0</v>
      </c>
      <c r="AB57" s="26">
        <f t="shared" si="44"/>
        <v>0</v>
      </c>
      <c r="AC57" s="26">
        <f t="shared" si="44"/>
        <v>0</v>
      </c>
      <c r="AD57" s="26">
        <f t="shared" si="44"/>
        <v>0</v>
      </c>
      <c r="AE57" s="26">
        <f t="shared" si="44"/>
        <v>0</v>
      </c>
      <c r="AF57" s="26">
        <f t="shared" si="44"/>
        <v>0</v>
      </c>
      <c r="AG57" s="26">
        <f t="shared" si="44"/>
        <v>0</v>
      </c>
      <c r="AH57" s="26">
        <f t="shared" si="44"/>
        <v>2</v>
      </c>
      <c r="AI57" s="26">
        <f t="shared" si="44"/>
        <v>0</v>
      </c>
      <c r="AJ57" s="26">
        <f t="shared" si="44"/>
        <v>0</v>
      </c>
      <c r="AK57" s="26">
        <f t="shared" si="44"/>
        <v>0</v>
      </c>
      <c r="AL57" s="26">
        <f t="shared" si="44"/>
        <v>0</v>
      </c>
      <c r="AM57" s="26">
        <f t="shared" si="44"/>
        <v>0</v>
      </c>
      <c r="AN57" s="26">
        <f t="shared" si="44"/>
        <v>0</v>
      </c>
      <c r="AO57" s="26">
        <f t="shared" si="44"/>
        <v>0</v>
      </c>
      <c r="AP57" s="26">
        <f t="shared" si="44"/>
        <v>2</v>
      </c>
      <c r="AQ57" s="26">
        <f t="shared" si="44"/>
        <v>0</v>
      </c>
      <c r="AR57" s="26">
        <f t="shared" si="44"/>
        <v>0</v>
      </c>
      <c r="AS57" s="26">
        <f t="shared" si="44"/>
        <v>0</v>
      </c>
      <c r="AV57" s="26">
        <f t="shared" si="6"/>
        <v>0</v>
      </c>
      <c r="AW57" s="26">
        <f t="shared" ref="AW57:AW58" si="45">E57-AA57</f>
        <v>0</v>
      </c>
      <c r="AX57" s="26">
        <f t="shared" ref="AX57:AX58" si="46">F57-AB57</f>
        <v>0</v>
      </c>
      <c r="AY57" s="26">
        <f t="shared" ref="AY57:AY58" si="47">G57-AC57</f>
        <v>0</v>
      </c>
      <c r="AZ57" s="26">
        <f t="shared" ref="AZ57:AZ58" si="48">H57-AD57</f>
        <v>0</v>
      </c>
      <c r="BA57" s="26">
        <f t="shared" ref="BA57:BA58" si="49">I57-AE57</f>
        <v>0</v>
      </c>
      <c r="BB57" s="26">
        <f t="shared" ref="BB57:BB58" si="50">J57-AF57</f>
        <v>0</v>
      </c>
      <c r="BC57" s="26">
        <f t="shared" ref="BC57:BC58" si="51">K57-AG57</f>
        <v>0</v>
      </c>
      <c r="BD57" s="26">
        <f t="shared" ref="BD57:BD58" si="52">L57-AH57</f>
        <v>0</v>
      </c>
      <c r="BE57" s="26">
        <f t="shared" si="32"/>
        <v>0</v>
      </c>
      <c r="BF57" s="26">
        <f t="shared" si="33"/>
        <v>0</v>
      </c>
      <c r="BG57" s="26">
        <f t="shared" si="34"/>
        <v>0</v>
      </c>
      <c r="BH57" s="26">
        <f t="shared" si="35"/>
        <v>0</v>
      </c>
      <c r="BI57" s="26">
        <f t="shared" si="36"/>
        <v>0</v>
      </c>
      <c r="BJ57" s="26">
        <f t="shared" si="37"/>
        <v>0</v>
      </c>
      <c r="BK57" s="26">
        <f t="shared" si="38"/>
        <v>0</v>
      </c>
      <c r="BL57" s="26">
        <f t="shared" si="39"/>
        <v>0</v>
      </c>
      <c r="BM57" s="26">
        <f t="shared" si="40"/>
        <v>0</v>
      </c>
      <c r="BN57" s="26">
        <f t="shared" si="41"/>
        <v>0</v>
      </c>
      <c r="BO57" s="26">
        <f t="shared" si="42"/>
        <v>0</v>
      </c>
    </row>
    <row r="58" spans="1:68" x14ac:dyDescent="0.35">
      <c r="A58" s="7" t="str">
        <v>Internet exchange point session border controller - software</v>
      </c>
      <c r="C58" s="9">
        <v>8</v>
      </c>
      <c r="D58" s="26">
        <f>D31</f>
        <v>8</v>
      </c>
      <c r="E58" s="26">
        <f>MAX(E31-D102,0)</f>
        <v>0</v>
      </c>
      <c r="F58" s="26">
        <f>MAX(F31-E102,0)</f>
        <v>0</v>
      </c>
      <c r="G58" s="26">
        <f>MAX(G31-F102,0)</f>
        <v>0</v>
      </c>
      <c r="H58" s="26">
        <f t="shared" ref="H58:W58" si="53">MAX(H31-G102,0)</f>
        <v>0</v>
      </c>
      <c r="I58" s="26">
        <f t="shared" si="53"/>
        <v>0</v>
      </c>
      <c r="J58" s="26">
        <f t="shared" si="53"/>
        <v>0</v>
      </c>
      <c r="K58" s="26">
        <f t="shared" si="53"/>
        <v>0</v>
      </c>
      <c r="L58" s="26">
        <f t="shared" si="53"/>
        <v>4</v>
      </c>
      <c r="M58" s="26">
        <f>MAX(M31-L102,0)</f>
        <v>0</v>
      </c>
      <c r="N58" s="26">
        <f t="shared" si="53"/>
        <v>0</v>
      </c>
      <c r="O58" s="26">
        <f t="shared" si="53"/>
        <v>0</v>
      </c>
      <c r="P58" s="26">
        <f t="shared" si="53"/>
        <v>0</v>
      </c>
      <c r="Q58" s="26">
        <f t="shared" si="53"/>
        <v>0</v>
      </c>
      <c r="R58" s="26">
        <f t="shared" si="53"/>
        <v>0</v>
      </c>
      <c r="S58" s="26">
        <f t="shared" si="53"/>
        <v>0</v>
      </c>
      <c r="T58" s="26">
        <f t="shared" si="53"/>
        <v>2</v>
      </c>
      <c r="U58" s="26">
        <f t="shared" si="53"/>
        <v>0</v>
      </c>
      <c r="V58" s="26">
        <f t="shared" si="53"/>
        <v>0</v>
      </c>
      <c r="W58" s="26">
        <f t="shared" si="53"/>
        <v>0</v>
      </c>
      <c r="X58" s="15" t="s">
        <v>374</v>
      </c>
      <c r="Z58" s="26">
        <f t="shared" si="4"/>
        <v>6</v>
      </c>
      <c r="AA58" s="26">
        <f t="shared" ref="AA58:AS58" si="54">MAX(AA31-Z102,0)</f>
        <v>0</v>
      </c>
      <c r="AB58" s="26">
        <f t="shared" si="54"/>
        <v>0</v>
      </c>
      <c r="AC58" s="26">
        <f t="shared" si="54"/>
        <v>0</v>
      </c>
      <c r="AD58" s="26">
        <f t="shared" si="54"/>
        <v>0</v>
      </c>
      <c r="AE58" s="26">
        <f t="shared" si="54"/>
        <v>0</v>
      </c>
      <c r="AF58" s="26">
        <f t="shared" si="54"/>
        <v>0</v>
      </c>
      <c r="AG58" s="26">
        <f t="shared" si="54"/>
        <v>0</v>
      </c>
      <c r="AH58" s="26">
        <f t="shared" si="54"/>
        <v>4</v>
      </c>
      <c r="AI58" s="26">
        <f t="shared" si="54"/>
        <v>0</v>
      </c>
      <c r="AJ58" s="26">
        <f t="shared" si="54"/>
        <v>0</v>
      </c>
      <c r="AK58" s="26">
        <f t="shared" si="54"/>
        <v>0</v>
      </c>
      <c r="AL58" s="26">
        <f t="shared" si="54"/>
        <v>0</v>
      </c>
      <c r="AM58" s="26">
        <f t="shared" si="54"/>
        <v>0</v>
      </c>
      <c r="AN58" s="26">
        <f t="shared" si="54"/>
        <v>0</v>
      </c>
      <c r="AO58" s="26">
        <f t="shared" si="54"/>
        <v>0</v>
      </c>
      <c r="AP58" s="26">
        <f t="shared" si="54"/>
        <v>2</v>
      </c>
      <c r="AQ58" s="26">
        <f t="shared" si="54"/>
        <v>0</v>
      </c>
      <c r="AR58" s="26">
        <f t="shared" si="54"/>
        <v>0</v>
      </c>
      <c r="AS58" s="26">
        <f t="shared" si="54"/>
        <v>0</v>
      </c>
      <c r="AT58" s="15" t="s">
        <v>373</v>
      </c>
      <c r="AV58" s="26">
        <f t="shared" si="6"/>
        <v>2</v>
      </c>
      <c r="AW58" s="26">
        <f t="shared" si="45"/>
        <v>0</v>
      </c>
      <c r="AX58" s="26">
        <f t="shared" si="46"/>
        <v>0</v>
      </c>
      <c r="AY58" s="26">
        <f t="shared" si="47"/>
        <v>0</v>
      </c>
      <c r="AZ58" s="26">
        <f t="shared" si="48"/>
        <v>0</v>
      </c>
      <c r="BA58" s="26">
        <f t="shared" si="49"/>
        <v>0</v>
      </c>
      <c r="BB58" s="26">
        <f t="shared" si="50"/>
        <v>0</v>
      </c>
      <c r="BC58" s="26">
        <f t="shared" si="51"/>
        <v>0</v>
      </c>
      <c r="BD58" s="26">
        <f t="shared" si="52"/>
        <v>0</v>
      </c>
      <c r="BE58" s="26">
        <f t="shared" si="32"/>
        <v>0</v>
      </c>
      <c r="BF58" s="26">
        <f t="shared" si="33"/>
        <v>0</v>
      </c>
      <c r="BG58" s="26">
        <f t="shared" si="34"/>
        <v>0</v>
      </c>
      <c r="BH58" s="26">
        <f t="shared" si="35"/>
        <v>0</v>
      </c>
      <c r="BI58" s="26">
        <f t="shared" si="36"/>
        <v>0</v>
      </c>
      <c r="BJ58" s="26">
        <f t="shared" si="37"/>
        <v>0</v>
      </c>
      <c r="BK58" s="26">
        <f t="shared" si="38"/>
        <v>0</v>
      </c>
      <c r="BL58" s="26">
        <f t="shared" si="39"/>
        <v>0</v>
      </c>
      <c r="BM58" s="26">
        <f t="shared" si="40"/>
        <v>0</v>
      </c>
      <c r="BN58" s="26">
        <f t="shared" si="41"/>
        <v>0</v>
      </c>
      <c r="BO58" s="26">
        <f t="shared" si="42"/>
        <v>0</v>
      </c>
      <c r="BP58" s="15" t="s">
        <v>380</v>
      </c>
    </row>
    <row r="60" spans="1:68" x14ac:dyDescent="0.35">
      <c r="A60" s="29" t="s">
        <v>363</v>
      </c>
    </row>
    <row r="62" spans="1:68" x14ac:dyDescent="0.35">
      <c r="A62" s="12" t="s">
        <v>368</v>
      </c>
    </row>
    <row r="63" spans="1:68" x14ac:dyDescent="0.35">
      <c r="B63" s="15"/>
      <c r="C63" s="15"/>
      <c r="D63" s="12">
        <v>1</v>
      </c>
      <c r="E63" s="12">
        <v>2</v>
      </c>
      <c r="F63" s="12">
        <v>3</v>
      </c>
      <c r="G63" s="12">
        <v>4</v>
      </c>
      <c r="H63" s="12">
        <v>5</v>
      </c>
      <c r="I63" s="12">
        <v>6</v>
      </c>
      <c r="J63" s="12">
        <v>7</v>
      </c>
      <c r="K63" s="12">
        <v>8</v>
      </c>
      <c r="L63" s="12">
        <v>9</v>
      </c>
      <c r="M63" s="12">
        <v>10</v>
      </c>
      <c r="N63" s="12">
        <v>11</v>
      </c>
      <c r="O63" s="12">
        <v>12</v>
      </c>
      <c r="P63" s="12">
        <v>13</v>
      </c>
      <c r="Q63" s="12">
        <v>14</v>
      </c>
      <c r="R63" s="12">
        <v>15</v>
      </c>
      <c r="S63" s="12">
        <v>16</v>
      </c>
      <c r="T63" s="12">
        <v>17</v>
      </c>
      <c r="U63" s="12">
        <v>18</v>
      </c>
      <c r="V63" s="12">
        <v>19</v>
      </c>
      <c r="W63" s="12">
        <v>20</v>
      </c>
      <c r="Z63" s="18" cm="1">
        <f t="array" ref="Z63:AS63">time_index</f>
        <v>1</v>
      </c>
      <c r="AA63">
        <v>2</v>
      </c>
      <c r="AB63" s="12">
        <v>3</v>
      </c>
      <c r="AC63" s="12">
        <v>4</v>
      </c>
      <c r="AD63" s="12">
        <v>5</v>
      </c>
      <c r="AE63" s="12">
        <v>6</v>
      </c>
      <c r="AF63" s="12">
        <v>7</v>
      </c>
      <c r="AG63" s="12">
        <v>8</v>
      </c>
      <c r="AH63" s="12">
        <v>9</v>
      </c>
      <c r="AI63" s="12">
        <v>10</v>
      </c>
      <c r="AJ63" s="12">
        <v>11</v>
      </c>
      <c r="AK63" s="12">
        <v>12</v>
      </c>
      <c r="AL63" s="12">
        <v>13</v>
      </c>
      <c r="AM63" s="12">
        <v>14</v>
      </c>
      <c r="AN63" s="12">
        <v>15</v>
      </c>
      <c r="AO63" s="12">
        <v>16</v>
      </c>
      <c r="AP63" s="12">
        <v>17</v>
      </c>
      <c r="AQ63" s="12">
        <v>18</v>
      </c>
      <c r="AR63" s="12">
        <v>19</v>
      </c>
      <c r="AS63" s="12">
        <v>20</v>
      </c>
    </row>
    <row r="64" spans="1:68" ht="29" x14ac:dyDescent="0.35">
      <c r="A64" s="129"/>
      <c r="C64" s="56" t="s">
        <v>152</v>
      </c>
      <c r="D64" s="52" cm="1">
        <f t="array" ref="D64:W64">years</f>
        <v>2018</v>
      </c>
      <c r="E64" s="52">
        <v>2019</v>
      </c>
      <c r="F64" s="52">
        <v>2020</v>
      </c>
      <c r="G64" s="52">
        <v>2021</v>
      </c>
      <c r="H64" s="52">
        <v>2022</v>
      </c>
      <c r="I64" s="52">
        <v>2023</v>
      </c>
      <c r="J64" s="52">
        <v>2024</v>
      </c>
      <c r="K64" s="52">
        <v>2025</v>
      </c>
      <c r="L64" s="52">
        <v>2026</v>
      </c>
      <c r="M64" s="52">
        <v>2027</v>
      </c>
      <c r="N64" s="52">
        <v>2028</v>
      </c>
      <c r="O64" s="52">
        <v>2029</v>
      </c>
      <c r="P64" s="52">
        <v>2030</v>
      </c>
      <c r="Q64" s="52">
        <v>2031</v>
      </c>
      <c r="R64" s="52">
        <v>2032</v>
      </c>
      <c r="S64" s="52">
        <v>2033</v>
      </c>
      <c r="T64" s="52">
        <v>2034</v>
      </c>
      <c r="U64" s="52">
        <v>2035</v>
      </c>
      <c r="V64" s="52">
        <v>2036</v>
      </c>
      <c r="W64" s="52">
        <v>2037</v>
      </c>
      <c r="Z64" s="229" cm="1">
        <f t="array" ref="Z64:AS64">years</f>
        <v>2018</v>
      </c>
      <c r="AA64" s="53">
        <v>2019</v>
      </c>
      <c r="AB64" s="52">
        <v>2020</v>
      </c>
      <c r="AC64" s="52">
        <v>2021</v>
      </c>
      <c r="AD64" s="52">
        <v>2022</v>
      </c>
      <c r="AE64" s="52">
        <v>2023</v>
      </c>
      <c r="AF64" s="52">
        <v>2024</v>
      </c>
      <c r="AG64" s="52">
        <v>2025</v>
      </c>
      <c r="AH64" s="52">
        <v>2026</v>
      </c>
      <c r="AI64" s="52">
        <v>2027</v>
      </c>
      <c r="AJ64" s="52">
        <v>2028</v>
      </c>
      <c r="AK64" s="52">
        <v>2029</v>
      </c>
      <c r="AL64" s="52">
        <v>2030</v>
      </c>
      <c r="AM64" s="52">
        <v>2031</v>
      </c>
      <c r="AN64" s="52">
        <v>2032</v>
      </c>
      <c r="AO64" s="52">
        <v>2033</v>
      </c>
      <c r="AP64" s="52">
        <v>2034</v>
      </c>
      <c r="AQ64" s="52">
        <v>2035</v>
      </c>
      <c r="AR64" s="52">
        <v>2036</v>
      </c>
      <c r="AS64" s="52">
        <v>2037</v>
      </c>
    </row>
    <row r="65" spans="1:49" x14ac:dyDescent="0.35">
      <c r="A65" s="7" t="str" cm="1">
        <f t="array" ref="A65:A80">core_elements</f>
        <v>Application server hardware</v>
      </c>
      <c r="C65" s="9">
        <v>8</v>
      </c>
      <c r="D65" s="73">
        <v>0</v>
      </c>
      <c r="E65" s="26">
        <f>IF(E$63&gt;=$C65,INDEX($D43:E43,1,MATCH(E$63-$C65+1,$D$41:E$41)),0)</f>
        <v>0</v>
      </c>
      <c r="F65" s="26">
        <f>IF(F$63&gt;=$C65,INDEX($D43:F43,1,MATCH(F$63-$C65+1,$D$41:F$41)),0)</f>
        <v>0</v>
      </c>
      <c r="G65" s="26">
        <f>IF(G$63&gt;=$C65,INDEX($D43:G43,1,MATCH(G$63-$C65+1,$D$41:G$41)),0)</f>
        <v>0</v>
      </c>
      <c r="H65" s="26">
        <f>IF(H$63&gt;=$C65,INDEX($D43:H43,1,MATCH(H$63-$C65+1,$D$41:H$41)),0)</f>
        <v>0</v>
      </c>
      <c r="I65" s="26">
        <f>IF(I$63&gt;=$C65,INDEX($D43:I43,1,MATCH(I$63-$C65+1,$D$41:I$41)),0)</f>
        <v>0</v>
      </c>
      <c r="J65" s="26">
        <f>IF(J$63&gt;=$C65,INDEX($D43:J43,1,MATCH(J$63-$C65+1,$D$41:J$41)),0)</f>
        <v>0</v>
      </c>
      <c r="K65" s="26">
        <f>IF(K$63&gt;=$C65,INDEX($D43:K43,1,MATCH(K$63-$C65+1,$D$41:K$41)),0)</f>
        <v>2</v>
      </c>
      <c r="L65" s="26">
        <f>IF(L$63&gt;=$C65,INDEX($D43:L43,1,MATCH(L$63-$C65+1,$D$41:L$41)),0)</f>
        <v>0</v>
      </c>
      <c r="M65" s="26">
        <f>IF(M$63&gt;=$C65,INDEX($D43:M43,1,MATCH(M$63-$C65+1,$D$41:M$41)),0)</f>
        <v>0</v>
      </c>
      <c r="N65" s="26">
        <f>IF(N$63&gt;=$C65,INDEX($D43:N43,1,MATCH(N$63-$C65+1,$D$41:N$41)),0)</f>
        <v>0</v>
      </c>
      <c r="O65" s="26">
        <f>IF(O$63&gt;=$C65,INDEX($D43:O43,1,MATCH(O$63-$C65+1,$D$41:O$41)),0)</f>
        <v>0</v>
      </c>
      <c r="P65" s="26">
        <f>IF(P$63&gt;=$C65,INDEX($D43:P43,1,MATCH(P$63-$C65+1,$D$41:P$41)),0)</f>
        <v>0</v>
      </c>
      <c r="Q65" s="26">
        <f>IF(Q$63&gt;=$C65,INDEX($D43:Q43,1,MATCH(Q$63-$C65+1,$D$41:Q$41)),0)</f>
        <v>0</v>
      </c>
      <c r="R65" s="26">
        <f>IF(R$63&gt;=$C65,INDEX($D43:R43,1,MATCH(R$63-$C65+1,$D$41:R$41)),0)</f>
        <v>0</v>
      </c>
      <c r="S65" s="26">
        <f>IF(S$63&gt;=$C65,INDEX($D43:S43,1,MATCH(S$63-$C65+1,$D$41:S$41)),0)</f>
        <v>2</v>
      </c>
      <c r="T65" s="26">
        <f>IF(T$63&gt;=$C65,INDEX($D43:T43,1,MATCH(T$63-$C65+1,$D$41:T$41)),0)</f>
        <v>0</v>
      </c>
      <c r="U65" s="26">
        <f>IF(U$63&gt;=$C65,INDEX($D43:U43,1,MATCH(U$63-$C65+1,$D$41:U$41)),0)</f>
        <v>0</v>
      </c>
      <c r="V65" s="26">
        <f>IF(V$63&gt;=$C65,INDEX($D43:V43,1,MATCH(V$63-$C65+1,$D$41:V$41)),0)</f>
        <v>0</v>
      </c>
      <c r="W65" s="26">
        <f>IF(W$63&gt;=$C65,INDEX($D43:W43,1,MATCH(W$63-$C65+1,$D$41:W$41)),0)</f>
        <v>0</v>
      </c>
      <c r="Z65" s="26">
        <v>0</v>
      </c>
      <c r="AA65" s="26">
        <f>IF(AA$63&gt;=$C65,INDEX($Z43:AA43,1,MATCH(AA$63-$C65+1,$Z$41:AA$41)),0)</f>
        <v>0</v>
      </c>
      <c r="AB65" s="26">
        <f>IF(AB$63&gt;=$C65,INDEX($Z43:AB43,1,MATCH(AB$63-$C65+1,$Z$41:AB$41)),0)</f>
        <v>0</v>
      </c>
      <c r="AC65" s="26">
        <f>IF(AC$63&gt;=$C65,INDEX($Z43:AC43,1,MATCH(AC$63-$C65+1,$Z$41:AC$41)),0)</f>
        <v>0</v>
      </c>
      <c r="AD65" s="26">
        <f>IF(AD$63&gt;=$C65,INDEX($Z43:AD43,1,MATCH(AD$63-$C65+1,$Z$41:AD$41)),0)</f>
        <v>0</v>
      </c>
      <c r="AE65" s="26">
        <f>IF(AE$63&gt;=$C65,INDEX($Z43:AE43,1,MATCH(AE$63-$C65+1,$Z$41:AE$41)),0)</f>
        <v>0</v>
      </c>
      <c r="AF65" s="26">
        <f>IF(AF$63&gt;=$C65,INDEX($Z43:AF43,1,MATCH(AF$63-$C65+1,$Z$41:AF$41)),0)</f>
        <v>0</v>
      </c>
      <c r="AG65" s="26">
        <f>IF(AG$63&gt;=$C65,INDEX($Z43:AG43,1,MATCH(AG$63-$C65+1,$Z$41:AG$41)),0)</f>
        <v>2</v>
      </c>
      <c r="AH65" s="26">
        <f>IF(AH$63&gt;=$C65,INDEX($Z43:AH43,1,MATCH(AH$63-$C65+1,$Z$41:AH$41)),0)</f>
        <v>0</v>
      </c>
      <c r="AI65" s="26">
        <f>IF(AI$63&gt;=$C65,INDEX($Z43:AI43,1,MATCH(AI$63-$C65+1,$Z$41:AI$41)),0)</f>
        <v>0</v>
      </c>
      <c r="AJ65" s="26">
        <f>IF(AJ$63&gt;=$C65,INDEX($Z43:AJ43,1,MATCH(AJ$63-$C65+1,$Z$41:AJ$41)),0)</f>
        <v>0</v>
      </c>
      <c r="AK65" s="26">
        <f>IF(AK$63&gt;=$C65,INDEX($Z43:AK43,1,MATCH(AK$63-$C65+1,$Z$41:AK$41)),0)</f>
        <v>0</v>
      </c>
      <c r="AL65" s="26">
        <f>IF(AL$63&gt;=$C65,INDEX($Z43:AL43,1,MATCH(AL$63-$C65+1,$Z$41:AL$41)),0)</f>
        <v>0</v>
      </c>
      <c r="AM65" s="26">
        <f>IF(AM$63&gt;=$C65,INDEX($Z43:AM43,1,MATCH(AM$63-$C65+1,$Z$41:AM$41)),0)</f>
        <v>0</v>
      </c>
      <c r="AN65" s="26">
        <f>IF(AN$63&gt;=$C65,INDEX($Z43:AN43,1,MATCH(AN$63-$C65+1,$Z$41:AN$41)),0)</f>
        <v>0</v>
      </c>
      <c r="AO65" s="26">
        <f>IF(AO$63&gt;=$C65,INDEX($Z43:AO43,1,MATCH(AO$63-$C65+1,$Z$41:AO$41)),0)</f>
        <v>2</v>
      </c>
      <c r="AP65" s="26">
        <f>IF(AP$63&gt;=$C65,INDEX($Z43:AP43,1,MATCH(AP$63-$C65+1,$Z$41:AP$41)),0)</f>
        <v>0</v>
      </c>
      <c r="AQ65" s="26">
        <f>IF(AQ$63&gt;=$C65,INDEX($Z43:AQ43,1,MATCH(AQ$63-$C65+1,$Z$41:AQ$41)),0)</f>
        <v>0</v>
      </c>
      <c r="AR65" s="26">
        <f>IF(AR$63&gt;=$C65,INDEX($Z43:AR43,1,MATCH(AR$63-$C65+1,$Z$41:AR$41)),0)</f>
        <v>0</v>
      </c>
      <c r="AS65" s="26">
        <f>IF(AS$63&gt;=$C65,INDEX($Z43:AS43,1,MATCH(AS$63-$C65+1,$Z$41:AS$41)),0)</f>
        <v>0</v>
      </c>
    </row>
    <row r="66" spans="1:49" x14ac:dyDescent="0.35">
      <c r="A66" s="7" t="str">
        <v>Application server software</v>
      </c>
      <c r="C66" s="9">
        <v>8</v>
      </c>
      <c r="D66" s="73">
        <v>0</v>
      </c>
      <c r="E66" s="26">
        <f>IF(E$63&gt;=$C66,INDEX($D44:E44,1,MATCH(E$63-$C66+1,$D$41:E$41)),0)</f>
        <v>0</v>
      </c>
      <c r="F66" s="26">
        <f>IF(F$63&gt;=$C66,INDEX($D44:F44,1,MATCH(F$63-$C66+1,$D$41:F$41)),0)</f>
        <v>0</v>
      </c>
      <c r="G66" s="26">
        <f>IF(G$63&gt;=$C66,INDEX($D44:G44,1,MATCH(G$63-$C66+1,$D$41:G$41)),0)</f>
        <v>0</v>
      </c>
      <c r="H66" s="26">
        <f>IF(H$63&gt;=$C66,INDEX($D44:H44,1,MATCH(H$63-$C66+1,$D$41:H$41)),0)</f>
        <v>0</v>
      </c>
      <c r="I66" s="26">
        <f>IF(I$63&gt;=$C66,INDEX($D44:I44,1,MATCH(I$63-$C66+1,$D$41:I$41)),0)</f>
        <v>0</v>
      </c>
      <c r="J66" s="26">
        <f>IF(J$63&gt;=$C66,INDEX($D44:J44,1,MATCH(J$63-$C66+1,$D$41:J$41)),0)</f>
        <v>0</v>
      </c>
      <c r="K66" s="26">
        <f>IF(K$63&gt;=$C66,INDEX($D44:K44,1,MATCH(K$63-$C66+1,$D$41:K$41)),0)</f>
        <v>2</v>
      </c>
      <c r="L66" s="26">
        <f>IF(L$63&gt;=$C66,INDEX($D44:L44,1,MATCH(L$63-$C66+1,$D$41:L$41)),0)</f>
        <v>0</v>
      </c>
      <c r="M66" s="26">
        <f>IF(M$63&gt;=$C66,INDEX($D44:M44,1,MATCH(M$63-$C66+1,$D$41:M$41)),0)</f>
        <v>0</v>
      </c>
      <c r="N66" s="26">
        <f>IF(N$63&gt;=$C66,INDEX($D44:N44,1,MATCH(N$63-$C66+1,$D$41:N$41)),0)</f>
        <v>0</v>
      </c>
      <c r="O66" s="26">
        <f>IF(O$63&gt;=$C66,INDEX($D44:O44,1,MATCH(O$63-$C66+1,$D$41:O$41)),0)</f>
        <v>0</v>
      </c>
      <c r="P66" s="26">
        <f>IF(P$63&gt;=$C66,INDEX($D44:P44,1,MATCH(P$63-$C66+1,$D$41:P$41)),0)</f>
        <v>0</v>
      </c>
      <c r="Q66" s="26">
        <f>IF(Q$63&gt;=$C66,INDEX($D44:Q44,1,MATCH(Q$63-$C66+1,$D$41:Q$41)),0)</f>
        <v>0</v>
      </c>
      <c r="R66" s="26">
        <f>IF(R$63&gt;=$C66,INDEX($D44:R44,1,MATCH(R$63-$C66+1,$D$41:R$41)),0)</f>
        <v>0</v>
      </c>
      <c r="S66" s="26">
        <f>IF(S$63&gt;=$C66,INDEX($D44:S44,1,MATCH(S$63-$C66+1,$D$41:S$41)),0)</f>
        <v>2</v>
      </c>
      <c r="T66" s="26">
        <f>IF(T$63&gt;=$C66,INDEX($D44:T44,1,MATCH(T$63-$C66+1,$D$41:T$41)),0)</f>
        <v>0</v>
      </c>
      <c r="U66" s="26">
        <f>IF(U$63&gt;=$C66,INDEX($D44:U44,1,MATCH(U$63-$C66+1,$D$41:U$41)),0)</f>
        <v>0</v>
      </c>
      <c r="V66" s="26">
        <f>IF(V$63&gt;=$C66,INDEX($D44:V44,1,MATCH(V$63-$C66+1,$D$41:V$41)),0)</f>
        <v>0</v>
      </c>
      <c r="W66" s="26">
        <f>IF(W$63&gt;=$C66,INDEX($D44:W44,1,MATCH(W$63-$C66+1,$D$41:W$41)),0)</f>
        <v>0</v>
      </c>
      <c r="Z66" s="26">
        <v>0</v>
      </c>
      <c r="AA66" s="26">
        <f>IF(AA$63&gt;=$C66,INDEX($Z44:AA44,1,MATCH(AA$63-$C66+1,$Z$41:AA$41)),0)</f>
        <v>0</v>
      </c>
      <c r="AB66" s="26">
        <f>IF(AB$63&gt;=$C66,INDEX($Z44:AB44,1,MATCH(AB$63-$C66+1,$Z$41:AB$41)),0)</f>
        <v>0</v>
      </c>
      <c r="AC66" s="26">
        <f>IF(AC$63&gt;=$C66,INDEX($Z44:AC44,1,MATCH(AC$63-$C66+1,$Z$41:AC$41)),0)</f>
        <v>0</v>
      </c>
      <c r="AD66" s="26">
        <f>IF(AD$63&gt;=$C66,INDEX($Z44:AD44,1,MATCH(AD$63-$C66+1,$Z$41:AD$41)),0)</f>
        <v>0</v>
      </c>
      <c r="AE66" s="26">
        <f>IF(AE$63&gt;=$C66,INDEX($Z44:AE44,1,MATCH(AE$63-$C66+1,$Z$41:AE$41)),0)</f>
        <v>0</v>
      </c>
      <c r="AF66" s="26">
        <f>IF(AF$63&gt;=$C66,INDEX($Z44:AF44,1,MATCH(AF$63-$C66+1,$Z$41:AF$41)),0)</f>
        <v>0</v>
      </c>
      <c r="AG66" s="26">
        <f>IF(AG$63&gt;=$C66,INDEX($Z44:AG44,1,MATCH(AG$63-$C66+1,$Z$41:AG$41)),0)</f>
        <v>2</v>
      </c>
      <c r="AH66" s="26">
        <f>IF(AH$63&gt;=$C66,INDEX($Z44:AH44,1,MATCH(AH$63-$C66+1,$Z$41:AH$41)),0)</f>
        <v>0</v>
      </c>
      <c r="AI66" s="26">
        <f>IF(AI$63&gt;=$C66,INDEX($Z44:AI44,1,MATCH(AI$63-$C66+1,$Z$41:AI$41)),0)</f>
        <v>0</v>
      </c>
      <c r="AJ66" s="26">
        <f>IF(AJ$63&gt;=$C66,INDEX($Z44:AJ44,1,MATCH(AJ$63-$C66+1,$Z$41:AJ$41)),0)</f>
        <v>0</v>
      </c>
      <c r="AK66" s="26">
        <f>IF(AK$63&gt;=$C66,INDEX($Z44:AK44,1,MATCH(AK$63-$C66+1,$Z$41:AK$41)),0)</f>
        <v>0</v>
      </c>
      <c r="AL66" s="26">
        <f>IF(AL$63&gt;=$C66,INDEX($Z44:AL44,1,MATCH(AL$63-$C66+1,$Z$41:AL$41)),0)</f>
        <v>0</v>
      </c>
      <c r="AM66" s="26">
        <f>IF(AM$63&gt;=$C66,INDEX($Z44:AM44,1,MATCH(AM$63-$C66+1,$Z$41:AM$41)),0)</f>
        <v>0</v>
      </c>
      <c r="AN66" s="26">
        <f>IF(AN$63&gt;=$C66,INDEX($Z44:AN44,1,MATCH(AN$63-$C66+1,$Z$41:AN$41)),0)</f>
        <v>0</v>
      </c>
      <c r="AO66" s="26">
        <f>IF(AO$63&gt;=$C66,INDEX($Z44:AO44,1,MATCH(AO$63-$C66+1,$Z$41:AO$41)),0)</f>
        <v>2</v>
      </c>
      <c r="AP66" s="26">
        <f>IF(AP$63&gt;=$C66,INDEX($Z44:AP44,1,MATCH(AP$63-$C66+1,$Z$41:AP$41)),0)</f>
        <v>0</v>
      </c>
      <c r="AQ66" s="26">
        <f>IF(AQ$63&gt;=$C66,INDEX($Z44:AQ44,1,MATCH(AQ$63-$C66+1,$Z$41:AQ$41)),0)</f>
        <v>0</v>
      </c>
      <c r="AR66" s="26">
        <f>IF(AR$63&gt;=$C66,INDEX($Z44:AR44,1,MATCH(AR$63-$C66+1,$Z$41:AR$41)),0)</f>
        <v>0</v>
      </c>
      <c r="AS66" s="26">
        <f>IF(AS$63&gt;=$C66,INDEX($Z44:AS44,1,MATCH(AS$63-$C66+1,$Z$41:AS$41)),0)</f>
        <v>0</v>
      </c>
    </row>
    <row r="67" spans="1:49" x14ac:dyDescent="0.35">
      <c r="A67" s="7" t="str">
        <v>Charging data function hardware</v>
      </c>
      <c r="C67" s="9">
        <v>8</v>
      </c>
      <c r="D67" s="73">
        <v>0</v>
      </c>
      <c r="E67" s="26">
        <f>IF(E$63&gt;=$C67,INDEX($D45:E45,1,MATCH(E$63-$C67+1,$D$41:E$41)),0)</f>
        <v>0</v>
      </c>
      <c r="F67" s="26">
        <f>IF(F$63&gt;=$C67,INDEX($D45:F45,1,MATCH(F$63-$C67+1,$D$41:F$41)),0)</f>
        <v>0</v>
      </c>
      <c r="G67" s="26">
        <f>IF(G$63&gt;=$C67,INDEX($D45:G45,1,MATCH(G$63-$C67+1,$D$41:G$41)),0)</f>
        <v>0</v>
      </c>
      <c r="H67" s="26">
        <f>IF(H$63&gt;=$C67,INDEX($D45:H45,1,MATCH(H$63-$C67+1,$D$41:H$41)),0)</f>
        <v>0</v>
      </c>
      <c r="I67" s="26">
        <f>IF(I$63&gt;=$C67,INDEX($D45:I45,1,MATCH(I$63-$C67+1,$D$41:I$41)),0)</f>
        <v>0</v>
      </c>
      <c r="J67" s="26">
        <f>IF(J$63&gt;=$C67,INDEX($D45:J45,1,MATCH(J$63-$C67+1,$D$41:J$41)),0)</f>
        <v>0</v>
      </c>
      <c r="K67" s="26">
        <f>IF(K$63&gt;=$C67,INDEX($D45:K45,1,MATCH(K$63-$C67+1,$D$41:K$41)),0)</f>
        <v>2</v>
      </c>
      <c r="L67" s="26">
        <f>IF(L$63&gt;=$C67,INDEX($D45:L45,1,MATCH(L$63-$C67+1,$D$41:L$41)),0)</f>
        <v>0</v>
      </c>
      <c r="M67" s="26">
        <f>IF(M$63&gt;=$C67,INDEX($D45:M45,1,MATCH(M$63-$C67+1,$D$41:M$41)),0)</f>
        <v>0</v>
      </c>
      <c r="N67" s="26">
        <f>IF(N$63&gt;=$C67,INDEX($D45:N45,1,MATCH(N$63-$C67+1,$D$41:N$41)),0)</f>
        <v>0</v>
      </c>
      <c r="O67" s="26">
        <f>IF(O$63&gt;=$C67,INDEX($D45:O45,1,MATCH(O$63-$C67+1,$D$41:O$41)),0)</f>
        <v>0</v>
      </c>
      <c r="P67" s="26">
        <f>IF(P$63&gt;=$C67,INDEX($D45:P45,1,MATCH(P$63-$C67+1,$D$41:P$41)),0)</f>
        <v>0</v>
      </c>
      <c r="Q67" s="26">
        <f>IF(Q$63&gt;=$C67,INDEX($D45:Q45,1,MATCH(Q$63-$C67+1,$D$41:Q$41)),0)</f>
        <v>0</v>
      </c>
      <c r="R67" s="26">
        <f>IF(R$63&gt;=$C67,INDEX($D45:R45,1,MATCH(R$63-$C67+1,$D$41:R$41)),0)</f>
        <v>0</v>
      </c>
      <c r="S67" s="26">
        <f>IF(S$63&gt;=$C67,INDEX($D45:S45,1,MATCH(S$63-$C67+1,$D$41:S$41)),0)</f>
        <v>2</v>
      </c>
      <c r="T67" s="26">
        <f>IF(T$63&gt;=$C67,INDEX($D45:T45,1,MATCH(T$63-$C67+1,$D$41:T$41)),0)</f>
        <v>0</v>
      </c>
      <c r="U67" s="26">
        <f>IF(U$63&gt;=$C67,INDEX($D45:U45,1,MATCH(U$63-$C67+1,$D$41:U$41)),0)</f>
        <v>0</v>
      </c>
      <c r="V67" s="26">
        <f>IF(V$63&gt;=$C67,INDEX($D45:V45,1,MATCH(V$63-$C67+1,$D$41:V$41)),0)</f>
        <v>0</v>
      </c>
      <c r="W67" s="26">
        <f>IF(W$63&gt;=$C67,INDEX($D45:W45,1,MATCH(W$63-$C67+1,$D$41:W$41)),0)</f>
        <v>0</v>
      </c>
      <c r="Z67" s="26">
        <v>0</v>
      </c>
      <c r="AA67" s="26">
        <f>IF(AA$63&gt;=$C67,INDEX($Z45:AA45,1,MATCH(AA$63-$C67+1,$Z$41:AA$41)),0)</f>
        <v>0</v>
      </c>
      <c r="AB67" s="26">
        <f>IF(AB$63&gt;=$C67,INDEX($Z45:AB45,1,MATCH(AB$63-$C67+1,$Z$41:AB$41)),0)</f>
        <v>0</v>
      </c>
      <c r="AC67" s="26">
        <f>IF(AC$63&gt;=$C67,INDEX($Z45:AC45,1,MATCH(AC$63-$C67+1,$Z$41:AC$41)),0)</f>
        <v>0</v>
      </c>
      <c r="AD67" s="26">
        <f>IF(AD$63&gt;=$C67,INDEX($Z45:AD45,1,MATCH(AD$63-$C67+1,$Z$41:AD$41)),0)</f>
        <v>0</v>
      </c>
      <c r="AE67" s="26">
        <f>IF(AE$63&gt;=$C67,INDEX($Z45:AE45,1,MATCH(AE$63-$C67+1,$Z$41:AE$41)),0)</f>
        <v>0</v>
      </c>
      <c r="AF67" s="26">
        <f>IF(AF$63&gt;=$C67,INDEX($Z45:AF45,1,MATCH(AF$63-$C67+1,$Z$41:AF$41)),0)</f>
        <v>0</v>
      </c>
      <c r="AG67" s="26">
        <f>IF(AG$63&gt;=$C67,INDEX($Z45:AG45,1,MATCH(AG$63-$C67+1,$Z$41:AG$41)),0)</f>
        <v>2</v>
      </c>
      <c r="AH67" s="26">
        <f>IF(AH$63&gt;=$C67,INDEX($Z45:AH45,1,MATCH(AH$63-$C67+1,$Z$41:AH$41)),0)</f>
        <v>0</v>
      </c>
      <c r="AI67" s="26">
        <f>IF(AI$63&gt;=$C67,INDEX($Z45:AI45,1,MATCH(AI$63-$C67+1,$Z$41:AI$41)),0)</f>
        <v>0</v>
      </c>
      <c r="AJ67" s="26">
        <f>IF(AJ$63&gt;=$C67,INDEX($Z45:AJ45,1,MATCH(AJ$63-$C67+1,$Z$41:AJ$41)),0)</f>
        <v>0</v>
      </c>
      <c r="AK67" s="26">
        <f>IF(AK$63&gt;=$C67,INDEX($Z45:AK45,1,MATCH(AK$63-$C67+1,$Z$41:AK$41)),0)</f>
        <v>0</v>
      </c>
      <c r="AL67" s="26">
        <f>IF(AL$63&gt;=$C67,INDEX($Z45:AL45,1,MATCH(AL$63-$C67+1,$Z$41:AL$41)),0)</f>
        <v>0</v>
      </c>
      <c r="AM67" s="26">
        <f>IF(AM$63&gt;=$C67,INDEX($Z45:AM45,1,MATCH(AM$63-$C67+1,$Z$41:AM$41)),0)</f>
        <v>0</v>
      </c>
      <c r="AN67" s="26">
        <f>IF(AN$63&gt;=$C67,INDEX($Z45:AN45,1,MATCH(AN$63-$C67+1,$Z$41:AN$41)),0)</f>
        <v>0</v>
      </c>
      <c r="AO67" s="26">
        <f>IF(AO$63&gt;=$C67,INDEX($Z45:AO45,1,MATCH(AO$63-$C67+1,$Z$41:AO$41)),0)</f>
        <v>2</v>
      </c>
      <c r="AP67" s="26">
        <f>IF(AP$63&gt;=$C67,INDEX($Z45:AP45,1,MATCH(AP$63-$C67+1,$Z$41:AP$41)),0)</f>
        <v>0</v>
      </c>
      <c r="AQ67" s="26">
        <f>IF(AQ$63&gt;=$C67,INDEX($Z45:AQ45,1,MATCH(AQ$63-$C67+1,$Z$41:AQ$41)),0)</f>
        <v>0</v>
      </c>
      <c r="AR67" s="26">
        <f>IF(AR$63&gt;=$C67,INDEX($Z45:AR45,1,MATCH(AR$63-$C67+1,$Z$41:AR$41)),0)</f>
        <v>0</v>
      </c>
      <c r="AS67" s="26">
        <f>IF(AS$63&gt;=$C67,INDEX($Z45:AS45,1,MATCH(AS$63-$C67+1,$Z$41:AS$41)),0)</f>
        <v>0</v>
      </c>
    </row>
    <row r="68" spans="1:49" x14ac:dyDescent="0.35">
      <c r="A68" s="7" t="str">
        <v>Charging data function software</v>
      </c>
      <c r="C68" s="9">
        <v>8</v>
      </c>
      <c r="D68" s="73">
        <v>0</v>
      </c>
      <c r="E68" s="26">
        <f>IF(E$63&gt;=$C68,INDEX($D46:E46,1,MATCH(E$63-$C68+1,$D$41:E$41)),0)</f>
        <v>0</v>
      </c>
      <c r="F68" s="26">
        <f>IF(F$63&gt;=$C68,INDEX($D46:F46,1,MATCH(F$63-$C68+1,$D$41:F$41)),0)</f>
        <v>0</v>
      </c>
      <c r="G68" s="26">
        <f>IF(G$63&gt;=$C68,INDEX($D46:G46,1,MATCH(G$63-$C68+1,$D$41:G$41)),0)</f>
        <v>0</v>
      </c>
      <c r="H68" s="26">
        <f>IF(H$63&gt;=$C68,INDEX($D46:H46,1,MATCH(H$63-$C68+1,$D$41:H$41)),0)</f>
        <v>0</v>
      </c>
      <c r="I68" s="26">
        <f>IF(I$63&gt;=$C68,INDEX($D46:I46,1,MATCH(I$63-$C68+1,$D$41:I$41)),0)</f>
        <v>0</v>
      </c>
      <c r="J68" s="26">
        <f>IF(J$63&gt;=$C68,INDEX($D46:J46,1,MATCH(J$63-$C68+1,$D$41:J$41)),0)</f>
        <v>0</v>
      </c>
      <c r="K68" s="26">
        <f>IF(K$63&gt;=$C68,INDEX($D46:K46,1,MATCH(K$63-$C68+1,$D$41:K$41)),0)</f>
        <v>168</v>
      </c>
      <c r="L68" s="26">
        <f>IF(L$63&gt;=$C68,INDEX($D46:L46,1,MATCH(L$63-$C68+1,$D$41:L$41)),0)</f>
        <v>0</v>
      </c>
      <c r="M68" s="26">
        <f>IF(M$63&gt;=$C68,INDEX($D46:M46,1,MATCH(M$63-$C68+1,$D$41:M$41)),0)</f>
        <v>0</v>
      </c>
      <c r="N68" s="26">
        <f>IF(N$63&gt;=$C68,INDEX($D46:N46,1,MATCH(N$63-$C68+1,$D$41:N$41)),0)</f>
        <v>0</v>
      </c>
      <c r="O68" s="26">
        <f>IF(O$63&gt;=$C68,INDEX($D46:O46,1,MATCH(O$63-$C68+1,$D$41:O$41)),0)</f>
        <v>0</v>
      </c>
      <c r="P68" s="26">
        <f>IF(P$63&gt;=$C68,INDEX($D46:P46,1,MATCH(P$63-$C68+1,$D$41:P$41)),0)</f>
        <v>0</v>
      </c>
      <c r="Q68" s="26">
        <f>IF(Q$63&gt;=$C68,INDEX($D46:Q46,1,MATCH(Q$63-$C68+1,$D$41:Q$41)),0)</f>
        <v>0</v>
      </c>
      <c r="R68" s="26">
        <f>IF(R$63&gt;=$C68,INDEX($D46:R46,1,MATCH(R$63-$C68+1,$D$41:R$41)),0)</f>
        <v>0</v>
      </c>
      <c r="S68" s="26">
        <f>IF(S$63&gt;=$C68,INDEX($D46:S46,1,MATCH(S$63-$C68+1,$D$41:S$41)),0)</f>
        <v>74</v>
      </c>
      <c r="T68" s="26">
        <f>IF(T$63&gt;=$C68,INDEX($D46:T46,1,MATCH(T$63-$C68+1,$D$41:T$41)),0)</f>
        <v>0</v>
      </c>
      <c r="U68" s="26">
        <f>IF(U$63&gt;=$C68,INDEX($D46:U46,1,MATCH(U$63-$C68+1,$D$41:U$41)),0)</f>
        <v>0</v>
      </c>
      <c r="V68" s="26">
        <f>IF(V$63&gt;=$C68,INDEX($D46:V46,1,MATCH(V$63-$C68+1,$D$41:V$41)),0)</f>
        <v>0</v>
      </c>
      <c r="W68" s="26">
        <f>IF(W$63&gt;=$C68,INDEX($D46:W46,1,MATCH(W$63-$C68+1,$D$41:W$41)),0)</f>
        <v>0</v>
      </c>
      <c r="Z68" s="26">
        <v>0</v>
      </c>
      <c r="AA68" s="26">
        <f>IF(AA$63&gt;=$C68,INDEX($Z46:AA46,1,MATCH(AA$63-$C68+1,$Z$41:AA$41)),0)</f>
        <v>0</v>
      </c>
      <c r="AB68" s="26">
        <f>IF(AB$63&gt;=$C68,INDEX($Z46:AB46,1,MATCH(AB$63-$C68+1,$Z$41:AB$41)),0)</f>
        <v>0</v>
      </c>
      <c r="AC68" s="26">
        <f>IF(AC$63&gt;=$C68,INDEX($Z46:AC46,1,MATCH(AC$63-$C68+1,$Z$41:AC$41)),0)</f>
        <v>0</v>
      </c>
      <c r="AD68" s="26">
        <f>IF(AD$63&gt;=$C68,INDEX($Z46:AD46,1,MATCH(AD$63-$C68+1,$Z$41:AD$41)),0)</f>
        <v>0</v>
      </c>
      <c r="AE68" s="26">
        <f>IF(AE$63&gt;=$C68,INDEX($Z46:AE46,1,MATCH(AE$63-$C68+1,$Z$41:AE$41)),0)</f>
        <v>0</v>
      </c>
      <c r="AF68" s="26">
        <f>IF(AF$63&gt;=$C68,INDEX($Z46:AF46,1,MATCH(AF$63-$C68+1,$Z$41:AF$41)),0)</f>
        <v>0</v>
      </c>
      <c r="AG68" s="26">
        <f>IF(AG$63&gt;=$C68,INDEX($Z46:AG46,1,MATCH(AG$63-$C68+1,$Z$41:AG$41)),0)</f>
        <v>124</v>
      </c>
      <c r="AH68" s="26">
        <f>IF(AH$63&gt;=$C68,INDEX($Z46:AH46,1,MATCH(AH$63-$C68+1,$Z$41:AH$41)),0)</f>
        <v>0</v>
      </c>
      <c r="AI68" s="26">
        <f>IF(AI$63&gt;=$C68,INDEX($Z46:AI46,1,MATCH(AI$63-$C68+1,$Z$41:AI$41)),0)</f>
        <v>0</v>
      </c>
      <c r="AJ68" s="26">
        <f>IF(AJ$63&gt;=$C68,INDEX($Z46:AJ46,1,MATCH(AJ$63-$C68+1,$Z$41:AJ$41)),0)</f>
        <v>0</v>
      </c>
      <c r="AK68" s="26">
        <f>IF(AK$63&gt;=$C68,INDEX($Z46:AK46,1,MATCH(AK$63-$C68+1,$Z$41:AK$41)),0)</f>
        <v>0</v>
      </c>
      <c r="AL68" s="26">
        <f>IF(AL$63&gt;=$C68,INDEX($Z46:AL46,1,MATCH(AL$63-$C68+1,$Z$41:AL$41)),0)</f>
        <v>0</v>
      </c>
      <c r="AM68" s="26">
        <f>IF(AM$63&gt;=$C68,INDEX($Z46:AM46,1,MATCH(AM$63-$C68+1,$Z$41:AM$41)),0)</f>
        <v>0</v>
      </c>
      <c r="AN68" s="26">
        <f>IF(AN$63&gt;=$C68,INDEX($Z46:AN46,1,MATCH(AN$63-$C68+1,$Z$41:AN$41)),0)</f>
        <v>0</v>
      </c>
      <c r="AO68" s="26">
        <f>IF(AO$63&gt;=$C68,INDEX($Z46:AO46,1,MATCH(AO$63-$C68+1,$Z$41:AO$41)),0)</f>
        <v>52</v>
      </c>
      <c r="AP68" s="26">
        <f>IF(AP$63&gt;=$C68,INDEX($Z46:AP46,1,MATCH(AP$63-$C68+1,$Z$41:AP$41)),0)</f>
        <v>0</v>
      </c>
      <c r="AQ68" s="26">
        <f>IF(AQ$63&gt;=$C68,INDEX($Z46:AQ46,1,MATCH(AQ$63-$C68+1,$Z$41:AQ$41)),0)</f>
        <v>0</v>
      </c>
      <c r="AR68" s="26">
        <f>IF(AR$63&gt;=$C68,INDEX($Z46:AR46,1,MATCH(AR$63-$C68+1,$Z$41:AR$41)),0)</f>
        <v>0</v>
      </c>
      <c r="AS68" s="26">
        <f>IF(AS$63&gt;=$C68,INDEX($Z46:AS46,1,MATCH(AS$63-$C68+1,$Z$41:AS$41)),0)</f>
        <v>0</v>
      </c>
    </row>
    <row r="69" spans="1:49" x14ac:dyDescent="0.35">
      <c r="A69" s="7" t="str">
        <v>Proxy - Call session control function hardware</v>
      </c>
      <c r="C69" s="9">
        <v>8</v>
      </c>
      <c r="D69" s="73">
        <v>0</v>
      </c>
      <c r="E69" s="26">
        <f>IF(E$63&gt;=$C69,INDEX($D47:E47,1,MATCH(E$63-$C69+1,$D$41:E$41)),0)</f>
        <v>0</v>
      </c>
      <c r="F69" s="26">
        <f>IF(F$63&gt;=$C69,INDEX($D47:F47,1,MATCH(F$63-$C69+1,$D$41:F$41)),0)</f>
        <v>0</v>
      </c>
      <c r="G69" s="26">
        <f>IF(G$63&gt;=$C69,INDEX($D47:G47,1,MATCH(G$63-$C69+1,$D$41:G$41)),0)</f>
        <v>0</v>
      </c>
      <c r="H69" s="26">
        <f>IF(H$63&gt;=$C69,INDEX($D47:H47,1,MATCH(H$63-$C69+1,$D$41:H$41)),0)</f>
        <v>0</v>
      </c>
      <c r="I69" s="26">
        <f>IF(I$63&gt;=$C69,INDEX($D47:I47,1,MATCH(I$63-$C69+1,$D$41:I$41)),0)</f>
        <v>0</v>
      </c>
      <c r="J69" s="26">
        <f>IF(J$63&gt;=$C69,INDEX($D47:J47,1,MATCH(J$63-$C69+1,$D$41:J$41)),0)</f>
        <v>0</v>
      </c>
      <c r="K69" s="26">
        <f>IF(K$63&gt;=$C69,INDEX($D47:K47,1,MATCH(K$63-$C69+1,$D$41:K$41)),0)</f>
        <v>2</v>
      </c>
      <c r="L69" s="26">
        <f>IF(L$63&gt;=$C69,INDEX($D47:L47,1,MATCH(L$63-$C69+1,$D$41:L$41)),0)</f>
        <v>0</v>
      </c>
      <c r="M69" s="26">
        <f>IF(M$63&gt;=$C69,INDEX($D47:M47,1,MATCH(M$63-$C69+1,$D$41:M$41)),0)</f>
        <v>0</v>
      </c>
      <c r="N69" s="26">
        <f>IF(N$63&gt;=$C69,INDEX($D47:N47,1,MATCH(N$63-$C69+1,$D$41:N$41)),0)</f>
        <v>0</v>
      </c>
      <c r="O69" s="26">
        <f>IF(O$63&gt;=$C69,INDEX($D47:O47,1,MATCH(O$63-$C69+1,$D$41:O$41)),0)</f>
        <v>0</v>
      </c>
      <c r="P69" s="26">
        <f>IF(P$63&gt;=$C69,INDEX($D47:P47,1,MATCH(P$63-$C69+1,$D$41:P$41)),0)</f>
        <v>0</v>
      </c>
      <c r="Q69" s="26">
        <f>IF(Q$63&gt;=$C69,INDEX($D47:Q47,1,MATCH(Q$63-$C69+1,$D$41:Q$41)),0)</f>
        <v>0</v>
      </c>
      <c r="R69" s="26">
        <f>IF(R$63&gt;=$C69,INDEX($D47:R47,1,MATCH(R$63-$C69+1,$D$41:R$41)),0)</f>
        <v>0</v>
      </c>
      <c r="S69" s="26">
        <f>IF(S$63&gt;=$C69,INDEX($D47:S47,1,MATCH(S$63-$C69+1,$D$41:S$41)),0)</f>
        <v>2</v>
      </c>
      <c r="T69" s="26">
        <f>IF(T$63&gt;=$C69,INDEX($D47:T47,1,MATCH(T$63-$C69+1,$D$41:T$41)),0)</f>
        <v>0</v>
      </c>
      <c r="U69" s="26">
        <f>IF(U$63&gt;=$C69,INDEX($D47:U47,1,MATCH(U$63-$C69+1,$D$41:U$41)),0)</f>
        <v>0</v>
      </c>
      <c r="V69" s="26">
        <f>IF(V$63&gt;=$C69,INDEX($D47:V47,1,MATCH(V$63-$C69+1,$D$41:V$41)),0)</f>
        <v>0</v>
      </c>
      <c r="W69" s="26">
        <f>IF(W$63&gt;=$C69,INDEX($D47:W47,1,MATCH(W$63-$C69+1,$D$41:W$41)),0)</f>
        <v>0</v>
      </c>
      <c r="Z69" s="26">
        <v>0</v>
      </c>
      <c r="AA69" s="26">
        <f>IF(AA$63&gt;=$C69,INDEX($Z47:AA47,1,MATCH(AA$63-$C69+1,$Z$41:AA$41)),0)</f>
        <v>0</v>
      </c>
      <c r="AB69" s="26">
        <f>IF(AB$63&gt;=$C69,INDEX($Z47:AB47,1,MATCH(AB$63-$C69+1,$Z$41:AB$41)),0)</f>
        <v>0</v>
      </c>
      <c r="AC69" s="26">
        <f>IF(AC$63&gt;=$C69,INDEX($Z47:AC47,1,MATCH(AC$63-$C69+1,$Z$41:AC$41)),0)</f>
        <v>0</v>
      </c>
      <c r="AD69" s="26">
        <f>IF(AD$63&gt;=$C69,INDEX($Z47:AD47,1,MATCH(AD$63-$C69+1,$Z$41:AD$41)),0)</f>
        <v>0</v>
      </c>
      <c r="AE69" s="26">
        <f>IF(AE$63&gt;=$C69,INDEX($Z47:AE47,1,MATCH(AE$63-$C69+1,$Z$41:AE$41)),0)</f>
        <v>0</v>
      </c>
      <c r="AF69" s="26">
        <f>IF(AF$63&gt;=$C69,INDEX($Z47:AF47,1,MATCH(AF$63-$C69+1,$Z$41:AF$41)),0)</f>
        <v>0</v>
      </c>
      <c r="AG69" s="26">
        <f>IF(AG$63&gt;=$C69,INDEX($Z47:AG47,1,MATCH(AG$63-$C69+1,$Z$41:AG$41)),0)</f>
        <v>2</v>
      </c>
      <c r="AH69" s="26">
        <f>IF(AH$63&gt;=$C69,INDEX($Z47:AH47,1,MATCH(AH$63-$C69+1,$Z$41:AH$41)),0)</f>
        <v>0</v>
      </c>
      <c r="AI69" s="26">
        <f>IF(AI$63&gt;=$C69,INDEX($Z47:AI47,1,MATCH(AI$63-$C69+1,$Z$41:AI$41)),0)</f>
        <v>0</v>
      </c>
      <c r="AJ69" s="26">
        <f>IF(AJ$63&gt;=$C69,INDEX($Z47:AJ47,1,MATCH(AJ$63-$C69+1,$Z$41:AJ$41)),0)</f>
        <v>0</v>
      </c>
      <c r="AK69" s="26">
        <f>IF(AK$63&gt;=$C69,INDEX($Z47:AK47,1,MATCH(AK$63-$C69+1,$Z$41:AK$41)),0)</f>
        <v>0</v>
      </c>
      <c r="AL69" s="26">
        <f>IF(AL$63&gt;=$C69,INDEX($Z47:AL47,1,MATCH(AL$63-$C69+1,$Z$41:AL$41)),0)</f>
        <v>0</v>
      </c>
      <c r="AM69" s="26">
        <f>IF(AM$63&gt;=$C69,INDEX($Z47:AM47,1,MATCH(AM$63-$C69+1,$Z$41:AM$41)),0)</f>
        <v>0</v>
      </c>
      <c r="AN69" s="26">
        <f>IF(AN$63&gt;=$C69,INDEX($Z47:AN47,1,MATCH(AN$63-$C69+1,$Z$41:AN$41)),0)</f>
        <v>0</v>
      </c>
      <c r="AO69" s="26">
        <f>IF(AO$63&gt;=$C69,INDEX($Z47:AO47,1,MATCH(AO$63-$C69+1,$Z$41:AO$41)),0)</f>
        <v>2</v>
      </c>
      <c r="AP69" s="26">
        <f>IF(AP$63&gt;=$C69,INDEX($Z47:AP47,1,MATCH(AP$63-$C69+1,$Z$41:AP$41)),0)</f>
        <v>0</v>
      </c>
      <c r="AQ69" s="26">
        <f>IF(AQ$63&gt;=$C69,INDEX($Z47:AQ47,1,MATCH(AQ$63-$C69+1,$Z$41:AQ$41)),0)</f>
        <v>0</v>
      </c>
      <c r="AR69" s="26">
        <f>IF(AR$63&gt;=$C69,INDEX($Z47:AR47,1,MATCH(AR$63-$C69+1,$Z$41:AR$41)),0)</f>
        <v>0</v>
      </c>
      <c r="AS69" s="26">
        <f>IF(AS$63&gt;=$C69,INDEX($Z47:AS47,1,MATCH(AS$63-$C69+1,$Z$41:AS$41)),0)</f>
        <v>0</v>
      </c>
    </row>
    <row r="70" spans="1:49" x14ac:dyDescent="0.35">
      <c r="A70" s="7" t="str">
        <v>Proxy - Call session control function software</v>
      </c>
      <c r="C70" s="9">
        <v>8</v>
      </c>
      <c r="D70" s="73">
        <v>0</v>
      </c>
      <c r="E70" s="26">
        <f>IF(E$63&gt;=$C70,INDEX($D48:E48,1,MATCH(E$63-$C70+1,$D$41:E$41)),0)</f>
        <v>0</v>
      </c>
      <c r="F70" s="26">
        <f>IF(F$63&gt;=$C70,INDEX($D48:F48,1,MATCH(F$63-$C70+1,$D$41:F$41)),0)</f>
        <v>0</v>
      </c>
      <c r="G70" s="26">
        <f>IF(G$63&gt;=$C70,INDEX($D48:G48,1,MATCH(G$63-$C70+1,$D$41:G$41)),0)</f>
        <v>0</v>
      </c>
      <c r="H70" s="26">
        <f>IF(H$63&gt;=$C70,INDEX($D48:H48,1,MATCH(H$63-$C70+1,$D$41:H$41)),0)</f>
        <v>0</v>
      </c>
      <c r="I70" s="26">
        <f>IF(I$63&gt;=$C70,INDEX($D48:I48,1,MATCH(I$63-$C70+1,$D$41:I$41)),0)</f>
        <v>0</v>
      </c>
      <c r="J70" s="26">
        <f>IF(J$63&gt;=$C70,INDEX($D48:J48,1,MATCH(J$63-$C70+1,$D$41:J$41)),0)</f>
        <v>0</v>
      </c>
      <c r="K70" s="26">
        <f>IF(K$63&gt;=$C70,INDEX($D48:K48,1,MATCH(K$63-$C70+1,$D$41:K$41)),0)</f>
        <v>1714</v>
      </c>
      <c r="L70" s="26">
        <f>IF(L$63&gt;=$C70,INDEX($D48:L48,1,MATCH(L$63-$C70+1,$D$41:L$41)),0)</f>
        <v>0</v>
      </c>
      <c r="M70" s="26">
        <f>IF(M$63&gt;=$C70,INDEX($D48:M48,1,MATCH(M$63-$C70+1,$D$41:M$41)),0)</f>
        <v>0</v>
      </c>
      <c r="N70" s="26">
        <f>IF(N$63&gt;=$C70,INDEX($D48:N48,1,MATCH(N$63-$C70+1,$D$41:N$41)),0)</f>
        <v>0</v>
      </c>
      <c r="O70" s="26">
        <f>IF(O$63&gt;=$C70,INDEX($D48:O48,1,MATCH(O$63-$C70+1,$D$41:O$41)),0)</f>
        <v>0</v>
      </c>
      <c r="P70" s="26">
        <f>IF(P$63&gt;=$C70,INDEX($D48:P48,1,MATCH(P$63-$C70+1,$D$41:P$41)),0)</f>
        <v>0</v>
      </c>
      <c r="Q70" s="26">
        <f>IF(Q$63&gt;=$C70,INDEX($D48:Q48,1,MATCH(Q$63-$C70+1,$D$41:Q$41)),0)</f>
        <v>0</v>
      </c>
      <c r="R70" s="26">
        <f>IF(R$63&gt;=$C70,INDEX($D48:R48,1,MATCH(R$63-$C70+1,$D$41:R$41)),0)</f>
        <v>0</v>
      </c>
      <c r="S70" s="26">
        <f>IF(S$63&gt;=$C70,INDEX($D48:S48,1,MATCH(S$63-$C70+1,$D$41:S$41)),0)</f>
        <v>758</v>
      </c>
      <c r="T70" s="26">
        <f>IF(T$63&gt;=$C70,INDEX($D48:T48,1,MATCH(T$63-$C70+1,$D$41:T$41)),0)</f>
        <v>0</v>
      </c>
      <c r="U70" s="26">
        <f>IF(U$63&gt;=$C70,INDEX($D48:U48,1,MATCH(U$63-$C70+1,$D$41:U$41)),0)</f>
        <v>0</v>
      </c>
      <c r="V70" s="26">
        <f>IF(V$63&gt;=$C70,INDEX($D48:V48,1,MATCH(V$63-$C70+1,$D$41:V$41)),0)</f>
        <v>0</v>
      </c>
      <c r="W70" s="26">
        <f>IF(W$63&gt;=$C70,INDEX($D48:W48,1,MATCH(W$63-$C70+1,$D$41:W$41)),0)</f>
        <v>0</v>
      </c>
      <c r="Z70" s="26">
        <v>0</v>
      </c>
      <c r="AA70" s="26">
        <f>IF(AA$63&gt;=$C70,INDEX($Z48:AA48,1,MATCH(AA$63-$C70+1,$Z$41:AA$41)),0)</f>
        <v>0</v>
      </c>
      <c r="AB70" s="26">
        <f>IF(AB$63&gt;=$C70,INDEX($Z48:AB48,1,MATCH(AB$63-$C70+1,$Z$41:AB$41)),0)</f>
        <v>0</v>
      </c>
      <c r="AC70" s="26">
        <f>IF(AC$63&gt;=$C70,INDEX($Z48:AC48,1,MATCH(AC$63-$C70+1,$Z$41:AC$41)),0)</f>
        <v>0</v>
      </c>
      <c r="AD70" s="26">
        <f>IF(AD$63&gt;=$C70,INDEX($Z48:AD48,1,MATCH(AD$63-$C70+1,$Z$41:AD$41)),0)</f>
        <v>0</v>
      </c>
      <c r="AE70" s="26">
        <f>IF(AE$63&gt;=$C70,INDEX($Z48:AE48,1,MATCH(AE$63-$C70+1,$Z$41:AE$41)),0)</f>
        <v>0</v>
      </c>
      <c r="AF70" s="26">
        <f>IF(AF$63&gt;=$C70,INDEX($Z48:AF48,1,MATCH(AF$63-$C70+1,$Z$41:AF$41)),0)</f>
        <v>0</v>
      </c>
      <c r="AG70" s="26">
        <f>IF(AG$63&gt;=$C70,INDEX($Z48:AG48,1,MATCH(AG$63-$C70+1,$Z$41:AG$41)),0)</f>
        <v>1266</v>
      </c>
      <c r="AH70" s="26">
        <f>IF(AH$63&gt;=$C70,INDEX($Z48:AH48,1,MATCH(AH$63-$C70+1,$Z$41:AH$41)),0)</f>
        <v>0</v>
      </c>
      <c r="AI70" s="26">
        <f>IF(AI$63&gt;=$C70,INDEX($Z48:AI48,1,MATCH(AI$63-$C70+1,$Z$41:AI$41)),0)</f>
        <v>0</v>
      </c>
      <c r="AJ70" s="26">
        <f>IF(AJ$63&gt;=$C70,INDEX($Z48:AJ48,1,MATCH(AJ$63-$C70+1,$Z$41:AJ$41)),0)</f>
        <v>0</v>
      </c>
      <c r="AK70" s="26">
        <f>IF(AK$63&gt;=$C70,INDEX($Z48:AK48,1,MATCH(AK$63-$C70+1,$Z$41:AK$41)),0)</f>
        <v>0</v>
      </c>
      <c r="AL70" s="26">
        <f>IF(AL$63&gt;=$C70,INDEX($Z48:AL48,1,MATCH(AL$63-$C70+1,$Z$41:AL$41)),0)</f>
        <v>0</v>
      </c>
      <c r="AM70" s="26">
        <f>IF(AM$63&gt;=$C70,INDEX($Z48:AM48,1,MATCH(AM$63-$C70+1,$Z$41:AM$41)),0)</f>
        <v>0</v>
      </c>
      <c r="AN70" s="26">
        <f>IF(AN$63&gt;=$C70,INDEX($Z48:AN48,1,MATCH(AN$63-$C70+1,$Z$41:AN$41)),0)</f>
        <v>0</v>
      </c>
      <c r="AO70" s="26">
        <f>IF(AO$63&gt;=$C70,INDEX($Z48:AO48,1,MATCH(AO$63-$C70+1,$Z$41:AO$41)),0)</f>
        <v>528</v>
      </c>
      <c r="AP70" s="26">
        <f>IF(AP$63&gt;=$C70,INDEX($Z48:AP48,1,MATCH(AP$63-$C70+1,$Z$41:AP$41)),0)</f>
        <v>0</v>
      </c>
      <c r="AQ70" s="26">
        <f>IF(AQ$63&gt;=$C70,INDEX($Z48:AQ48,1,MATCH(AQ$63-$C70+1,$Z$41:AQ$41)),0)</f>
        <v>0</v>
      </c>
      <c r="AR70" s="26">
        <f>IF(AR$63&gt;=$C70,INDEX($Z48:AR48,1,MATCH(AR$63-$C70+1,$Z$41:AR$41)),0)</f>
        <v>0</v>
      </c>
      <c r="AS70" s="26">
        <f>IF(AS$63&gt;=$C70,INDEX($Z48:AS48,1,MATCH(AS$63-$C70+1,$Z$41:AS$41)),0)</f>
        <v>0</v>
      </c>
    </row>
    <row r="71" spans="1:49" x14ac:dyDescent="0.35">
      <c r="A71" s="7" t="str">
        <v>Interrogating - Call session control function hardware</v>
      </c>
      <c r="C71" s="9">
        <v>8</v>
      </c>
      <c r="D71" s="73">
        <v>0</v>
      </c>
      <c r="E71" s="26">
        <f>IF(E$63&gt;=$C71,INDEX($D49:E49,1,MATCH(E$63-$C71+1,$D$41:E$41)),0)</f>
        <v>0</v>
      </c>
      <c r="F71" s="26">
        <f>IF(F$63&gt;=$C71,INDEX($D49:F49,1,MATCH(F$63-$C71+1,$D$41:F$41)),0)</f>
        <v>0</v>
      </c>
      <c r="G71" s="26">
        <f>IF(G$63&gt;=$C71,INDEX($D49:G49,1,MATCH(G$63-$C71+1,$D$41:G$41)),0)</f>
        <v>0</v>
      </c>
      <c r="H71" s="26">
        <f>IF(H$63&gt;=$C71,INDEX($D49:H49,1,MATCH(H$63-$C71+1,$D$41:H$41)),0)</f>
        <v>0</v>
      </c>
      <c r="I71" s="26">
        <f>IF(I$63&gt;=$C71,INDEX($D49:I49,1,MATCH(I$63-$C71+1,$D$41:I$41)),0)</f>
        <v>0</v>
      </c>
      <c r="J71" s="26">
        <f>IF(J$63&gt;=$C71,INDEX($D49:J49,1,MATCH(J$63-$C71+1,$D$41:J$41)),0)</f>
        <v>0</v>
      </c>
      <c r="K71" s="26">
        <f>IF(K$63&gt;=$C71,INDEX($D49:K49,1,MATCH(K$63-$C71+1,$D$41:K$41)),0)</f>
        <v>2</v>
      </c>
      <c r="L71" s="26">
        <f>IF(L$63&gt;=$C71,INDEX($D49:L49,1,MATCH(L$63-$C71+1,$D$41:L$41)),0)</f>
        <v>0</v>
      </c>
      <c r="M71" s="26">
        <f>IF(M$63&gt;=$C71,INDEX($D49:M49,1,MATCH(M$63-$C71+1,$D$41:M$41)),0)</f>
        <v>0</v>
      </c>
      <c r="N71" s="26">
        <f>IF(N$63&gt;=$C71,INDEX($D49:N49,1,MATCH(N$63-$C71+1,$D$41:N$41)),0)</f>
        <v>0</v>
      </c>
      <c r="O71" s="26">
        <f>IF(O$63&gt;=$C71,INDEX($D49:O49,1,MATCH(O$63-$C71+1,$D$41:O$41)),0)</f>
        <v>0</v>
      </c>
      <c r="P71" s="26">
        <f>IF(P$63&gt;=$C71,INDEX($D49:P49,1,MATCH(P$63-$C71+1,$D$41:P$41)),0)</f>
        <v>0</v>
      </c>
      <c r="Q71" s="26">
        <f>IF(Q$63&gt;=$C71,INDEX($D49:Q49,1,MATCH(Q$63-$C71+1,$D$41:Q$41)),0)</f>
        <v>0</v>
      </c>
      <c r="R71" s="26">
        <f>IF(R$63&gt;=$C71,INDEX($D49:R49,1,MATCH(R$63-$C71+1,$D$41:R$41)),0)</f>
        <v>0</v>
      </c>
      <c r="S71" s="26">
        <f>IF(S$63&gt;=$C71,INDEX($D49:S49,1,MATCH(S$63-$C71+1,$D$41:S$41)),0)</f>
        <v>2</v>
      </c>
      <c r="T71" s="26">
        <f>IF(T$63&gt;=$C71,INDEX($D49:T49,1,MATCH(T$63-$C71+1,$D$41:T$41)),0)</f>
        <v>0</v>
      </c>
      <c r="U71" s="26">
        <f>IF(U$63&gt;=$C71,INDEX($D49:U49,1,MATCH(U$63-$C71+1,$D$41:U$41)),0)</f>
        <v>0</v>
      </c>
      <c r="V71" s="26">
        <f>IF(V$63&gt;=$C71,INDEX($D49:V49,1,MATCH(V$63-$C71+1,$D$41:V$41)),0)</f>
        <v>0</v>
      </c>
      <c r="W71" s="26">
        <f>IF(W$63&gt;=$C71,INDEX($D49:W49,1,MATCH(W$63-$C71+1,$D$41:W$41)),0)</f>
        <v>0</v>
      </c>
      <c r="Z71" s="26">
        <v>0</v>
      </c>
      <c r="AA71" s="26">
        <f>IF(AA$63&gt;=$C71,INDEX($Z49:AA49,1,MATCH(AA$63-$C71+1,$Z$41:AA$41)),0)</f>
        <v>0</v>
      </c>
      <c r="AB71" s="26">
        <f>IF(AB$63&gt;=$C71,INDEX($Z49:AB49,1,MATCH(AB$63-$C71+1,$Z$41:AB$41)),0)</f>
        <v>0</v>
      </c>
      <c r="AC71" s="26">
        <f>IF(AC$63&gt;=$C71,INDEX($Z49:AC49,1,MATCH(AC$63-$C71+1,$Z$41:AC$41)),0)</f>
        <v>0</v>
      </c>
      <c r="AD71" s="26">
        <f>IF(AD$63&gt;=$C71,INDEX($Z49:AD49,1,MATCH(AD$63-$C71+1,$Z$41:AD$41)),0)</f>
        <v>0</v>
      </c>
      <c r="AE71" s="26">
        <f>IF(AE$63&gt;=$C71,INDEX($Z49:AE49,1,MATCH(AE$63-$C71+1,$Z$41:AE$41)),0)</f>
        <v>0</v>
      </c>
      <c r="AF71" s="26">
        <f>IF(AF$63&gt;=$C71,INDEX($Z49:AF49,1,MATCH(AF$63-$C71+1,$Z$41:AF$41)),0)</f>
        <v>0</v>
      </c>
      <c r="AG71" s="26">
        <f>IF(AG$63&gt;=$C71,INDEX($Z49:AG49,1,MATCH(AG$63-$C71+1,$Z$41:AG$41)),0)</f>
        <v>2</v>
      </c>
      <c r="AH71" s="26">
        <f>IF(AH$63&gt;=$C71,INDEX($Z49:AH49,1,MATCH(AH$63-$C71+1,$Z$41:AH$41)),0)</f>
        <v>0</v>
      </c>
      <c r="AI71" s="26">
        <f>IF(AI$63&gt;=$C71,INDEX($Z49:AI49,1,MATCH(AI$63-$C71+1,$Z$41:AI$41)),0)</f>
        <v>0</v>
      </c>
      <c r="AJ71" s="26">
        <f>IF(AJ$63&gt;=$C71,INDEX($Z49:AJ49,1,MATCH(AJ$63-$C71+1,$Z$41:AJ$41)),0)</f>
        <v>0</v>
      </c>
      <c r="AK71" s="26">
        <f>IF(AK$63&gt;=$C71,INDEX($Z49:AK49,1,MATCH(AK$63-$C71+1,$Z$41:AK$41)),0)</f>
        <v>0</v>
      </c>
      <c r="AL71" s="26">
        <f>IF(AL$63&gt;=$C71,INDEX($Z49:AL49,1,MATCH(AL$63-$C71+1,$Z$41:AL$41)),0)</f>
        <v>0</v>
      </c>
      <c r="AM71" s="26">
        <f>IF(AM$63&gt;=$C71,INDEX($Z49:AM49,1,MATCH(AM$63-$C71+1,$Z$41:AM$41)),0)</f>
        <v>0</v>
      </c>
      <c r="AN71" s="26">
        <f>IF(AN$63&gt;=$C71,INDEX($Z49:AN49,1,MATCH(AN$63-$C71+1,$Z$41:AN$41)),0)</f>
        <v>0</v>
      </c>
      <c r="AO71" s="26">
        <f>IF(AO$63&gt;=$C71,INDEX($Z49:AO49,1,MATCH(AO$63-$C71+1,$Z$41:AO$41)),0)</f>
        <v>2</v>
      </c>
      <c r="AP71" s="26">
        <f>IF(AP$63&gt;=$C71,INDEX($Z49:AP49,1,MATCH(AP$63-$C71+1,$Z$41:AP$41)),0)</f>
        <v>0</v>
      </c>
      <c r="AQ71" s="26">
        <f>IF(AQ$63&gt;=$C71,INDEX($Z49:AQ49,1,MATCH(AQ$63-$C71+1,$Z$41:AQ$41)),0)</f>
        <v>0</v>
      </c>
      <c r="AR71" s="26">
        <f>IF(AR$63&gt;=$C71,INDEX($Z49:AR49,1,MATCH(AR$63-$C71+1,$Z$41:AR$41)),0)</f>
        <v>0</v>
      </c>
      <c r="AS71" s="26">
        <f>IF(AS$63&gt;=$C71,INDEX($Z49:AS49,1,MATCH(AS$63-$C71+1,$Z$41:AS$41)),0)</f>
        <v>0</v>
      </c>
    </row>
    <row r="72" spans="1:49" x14ac:dyDescent="0.35">
      <c r="A72" s="7" t="str">
        <v>Interrogating - Call session control function software</v>
      </c>
      <c r="C72" s="9">
        <v>8</v>
      </c>
      <c r="D72" s="73">
        <v>0</v>
      </c>
      <c r="E72" s="26">
        <f>IF(E$63&gt;=$C72,INDEX($D50:E50,1,MATCH(E$63-$C72+1,$D$41:E$41)),0)</f>
        <v>0</v>
      </c>
      <c r="F72" s="26">
        <f>IF(F$63&gt;=$C72,INDEX($D50:F50,1,MATCH(F$63-$C72+1,$D$41:F$41)),0)</f>
        <v>0</v>
      </c>
      <c r="G72" s="26">
        <f>IF(G$63&gt;=$C72,INDEX($D50:G50,1,MATCH(G$63-$C72+1,$D$41:G$41)),0)</f>
        <v>0</v>
      </c>
      <c r="H72" s="26">
        <f>IF(H$63&gt;=$C72,INDEX($D50:H50,1,MATCH(H$63-$C72+1,$D$41:H$41)),0)</f>
        <v>0</v>
      </c>
      <c r="I72" s="26">
        <f>IF(I$63&gt;=$C72,INDEX($D50:I50,1,MATCH(I$63-$C72+1,$D$41:I$41)),0)</f>
        <v>0</v>
      </c>
      <c r="J72" s="26">
        <f>IF(J$63&gt;=$C72,INDEX($D50:J50,1,MATCH(J$63-$C72+1,$D$41:J$41)),0)</f>
        <v>0</v>
      </c>
      <c r="K72" s="26">
        <f>IF(K$63&gt;=$C72,INDEX($D50:K50,1,MATCH(K$63-$C72+1,$D$41:K$41)),0)</f>
        <v>1714</v>
      </c>
      <c r="L72" s="26">
        <f>IF(L$63&gt;=$C72,INDEX($D50:L50,1,MATCH(L$63-$C72+1,$D$41:L$41)),0)</f>
        <v>0</v>
      </c>
      <c r="M72" s="26">
        <f>IF(M$63&gt;=$C72,INDEX($D50:M50,1,MATCH(M$63-$C72+1,$D$41:M$41)),0)</f>
        <v>0</v>
      </c>
      <c r="N72" s="26">
        <f>IF(N$63&gt;=$C72,INDEX($D50:N50,1,MATCH(N$63-$C72+1,$D$41:N$41)),0)</f>
        <v>0</v>
      </c>
      <c r="O72" s="26">
        <f>IF(O$63&gt;=$C72,INDEX($D50:O50,1,MATCH(O$63-$C72+1,$D$41:O$41)),0)</f>
        <v>0</v>
      </c>
      <c r="P72" s="26">
        <f>IF(P$63&gt;=$C72,INDEX($D50:P50,1,MATCH(P$63-$C72+1,$D$41:P$41)),0)</f>
        <v>0</v>
      </c>
      <c r="Q72" s="26">
        <f>IF(Q$63&gt;=$C72,INDEX($D50:Q50,1,MATCH(Q$63-$C72+1,$D$41:Q$41)),0)</f>
        <v>0</v>
      </c>
      <c r="R72" s="26">
        <f>IF(R$63&gt;=$C72,INDEX($D50:R50,1,MATCH(R$63-$C72+1,$D$41:R$41)),0)</f>
        <v>0</v>
      </c>
      <c r="S72" s="26">
        <f>IF(S$63&gt;=$C72,INDEX($D50:S50,1,MATCH(S$63-$C72+1,$D$41:S$41)),0)</f>
        <v>758</v>
      </c>
      <c r="T72" s="26">
        <f>IF(T$63&gt;=$C72,INDEX($D50:T50,1,MATCH(T$63-$C72+1,$D$41:T$41)),0)</f>
        <v>0</v>
      </c>
      <c r="U72" s="26">
        <f>IF(U$63&gt;=$C72,INDEX($D50:U50,1,MATCH(U$63-$C72+1,$D$41:U$41)),0)</f>
        <v>0</v>
      </c>
      <c r="V72" s="26">
        <f>IF(V$63&gt;=$C72,INDEX($D50:V50,1,MATCH(V$63-$C72+1,$D$41:V$41)),0)</f>
        <v>0</v>
      </c>
      <c r="W72" s="26">
        <f>IF(W$63&gt;=$C72,INDEX($D50:W50,1,MATCH(W$63-$C72+1,$D$41:W$41)),0)</f>
        <v>0</v>
      </c>
      <c r="Z72" s="26">
        <v>0</v>
      </c>
      <c r="AA72" s="26">
        <f>IF(AA$63&gt;=$C72,INDEX($Z50:AA50,1,MATCH(AA$63-$C72+1,$Z$41:AA$41)),0)</f>
        <v>0</v>
      </c>
      <c r="AB72" s="26">
        <f>IF(AB$63&gt;=$C72,INDEX($Z50:AB50,1,MATCH(AB$63-$C72+1,$Z$41:AB$41)),0)</f>
        <v>0</v>
      </c>
      <c r="AC72" s="26">
        <f>IF(AC$63&gt;=$C72,INDEX($Z50:AC50,1,MATCH(AC$63-$C72+1,$Z$41:AC$41)),0)</f>
        <v>0</v>
      </c>
      <c r="AD72" s="26">
        <f>IF(AD$63&gt;=$C72,INDEX($Z50:AD50,1,MATCH(AD$63-$C72+1,$Z$41:AD$41)),0)</f>
        <v>0</v>
      </c>
      <c r="AE72" s="26">
        <f>IF(AE$63&gt;=$C72,INDEX($Z50:AE50,1,MATCH(AE$63-$C72+1,$Z$41:AE$41)),0)</f>
        <v>0</v>
      </c>
      <c r="AF72" s="26">
        <f>IF(AF$63&gt;=$C72,INDEX($Z50:AF50,1,MATCH(AF$63-$C72+1,$Z$41:AF$41)),0)</f>
        <v>0</v>
      </c>
      <c r="AG72" s="26">
        <f>IF(AG$63&gt;=$C72,INDEX($Z50:AG50,1,MATCH(AG$63-$C72+1,$Z$41:AG$41)),0)</f>
        <v>1266</v>
      </c>
      <c r="AH72" s="26">
        <f>IF(AH$63&gt;=$C72,INDEX($Z50:AH50,1,MATCH(AH$63-$C72+1,$Z$41:AH$41)),0)</f>
        <v>0</v>
      </c>
      <c r="AI72" s="26">
        <f>IF(AI$63&gt;=$C72,INDEX($Z50:AI50,1,MATCH(AI$63-$C72+1,$Z$41:AI$41)),0)</f>
        <v>0</v>
      </c>
      <c r="AJ72" s="26">
        <f>IF(AJ$63&gt;=$C72,INDEX($Z50:AJ50,1,MATCH(AJ$63-$C72+1,$Z$41:AJ$41)),0)</f>
        <v>0</v>
      </c>
      <c r="AK72" s="26">
        <f>IF(AK$63&gt;=$C72,INDEX($Z50:AK50,1,MATCH(AK$63-$C72+1,$Z$41:AK$41)),0)</f>
        <v>0</v>
      </c>
      <c r="AL72" s="26">
        <f>IF(AL$63&gt;=$C72,INDEX($Z50:AL50,1,MATCH(AL$63-$C72+1,$Z$41:AL$41)),0)</f>
        <v>0</v>
      </c>
      <c r="AM72" s="26">
        <f>IF(AM$63&gt;=$C72,INDEX($Z50:AM50,1,MATCH(AM$63-$C72+1,$Z$41:AM$41)),0)</f>
        <v>0</v>
      </c>
      <c r="AN72" s="26">
        <f>IF(AN$63&gt;=$C72,INDEX($Z50:AN50,1,MATCH(AN$63-$C72+1,$Z$41:AN$41)),0)</f>
        <v>0</v>
      </c>
      <c r="AO72" s="26">
        <f>IF(AO$63&gt;=$C72,INDEX($Z50:AO50,1,MATCH(AO$63-$C72+1,$Z$41:AO$41)),0)</f>
        <v>528</v>
      </c>
      <c r="AP72" s="26">
        <f>IF(AP$63&gt;=$C72,INDEX($Z50:AP50,1,MATCH(AP$63-$C72+1,$Z$41:AP$41)),0)</f>
        <v>0</v>
      </c>
      <c r="AQ72" s="26">
        <f>IF(AQ$63&gt;=$C72,INDEX($Z50:AQ50,1,MATCH(AQ$63-$C72+1,$Z$41:AQ$41)),0)</f>
        <v>0</v>
      </c>
      <c r="AR72" s="26">
        <f>IF(AR$63&gt;=$C72,INDEX($Z50:AR50,1,MATCH(AR$63-$C72+1,$Z$41:AR$41)),0)</f>
        <v>0</v>
      </c>
      <c r="AS72" s="26">
        <f>IF(AS$63&gt;=$C72,INDEX($Z50:AS50,1,MATCH(AS$63-$C72+1,$Z$41:AS$41)),0)</f>
        <v>0</v>
      </c>
    </row>
    <row r="73" spans="1:49" x14ac:dyDescent="0.35">
      <c r="A73" s="7" t="str">
        <v>Serving - Call session control function hardware</v>
      </c>
      <c r="C73" s="9">
        <v>8</v>
      </c>
      <c r="D73" s="73">
        <v>0</v>
      </c>
      <c r="E73" s="26">
        <f>IF(E$63&gt;=$C73,INDEX($D51:E51,1,MATCH(E$63-$C73+1,$D$41:E$41)),0)</f>
        <v>0</v>
      </c>
      <c r="F73" s="26">
        <f>IF(F$63&gt;=$C73,INDEX($D51:F51,1,MATCH(F$63-$C73+1,$D$41:F$41)),0)</f>
        <v>0</v>
      </c>
      <c r="G73" s="26">
        <f>IF(G$63&gt;=$C73,INDEX($D51:G51,1,MATCH(G$63-$C73+1,$D$41:G$41)),0)</f>
        <v>0</v>
      </c>
      <c r="H73" s="26">
        <f>IF(H$63&gt;=$C73,INDEX($D51:H51,1,MATCH(H$63-$C73+1,$D$41:H$41)),0)</f>
        <v>0</v>
      </c>
      <c r="I73" s="26">
        <f>IF(I$63&gt;=$C73,INDEX($D51:I51,1,MATCH(I$63-$C73+1,$D$41:I$41)),0)</f>
        <v>0</v>
      </c>
      <c r="J73" s="26">
        <f>IF(J$63&gt;=$C73,INDEX($D51:J51,1,MATCH(J$63-$C73+1,$D$41:J$41)),0)</f>
        <v>0</v>
      </c>
      <c r="K73" s="26">
        <f>IF(K$63&gt;=$C73,INDEX($D51:K51,1,MATCH(K$63-$C73+1,$D$41:K$41)),0)</f>
        <v>2</v>
      </c>
      <c r="L73" s="26">
        <f>IF(L$63&gt;=$C73,INDEX($D51:L51,1,MATCH(L$63-$C73+1,$D$41:L$41)),0)</f>
        <v>0</v>
      </c>
      <c r="M73" s="26">
        <f>IF(M$63&gt;=$C73,INDEX($D51:M51,1,MATCH(M$63-$C73+1,$D$41:M$41)),0)</f>
        <v>0</v>
      </c>
      <c r="N73" s="26">
        <f>IF(N$63&gt;=$C73,INDEX($D51:N51,1,MATCH(N$63-$C73+1,$D$41:N$41)),0)</f>
        <v>0</v>
      </c>
      <c r="O73" s="26">
        <f>IF(O$63&gt;=$C73,INDEX($D51:O51,1,MATCH(O$63-$C73+1,$D$41:O$41)),0)</f>
        <v>0</v>
      </c>
      <c r="P73" s="26">
        <f>IF(P$63&gt;=$C73,INDEX($D51:P51,1,MATCH(P$63-$C73+1,$D$41:P$41)),0)</f>
        <v>0</v>
      </c>
      <c r="Q73" s="26">
        <f>IF(Q$63&gt;=$C73,INDEX($D51:Q51,1,MATCH(Q$63-$C73+1,$D$41:Q$41)),0)</f>
        <v>0</v>
      </c>
      <c r="R73" s="26">
        <f>IF(R$63&gt;=$C73,INDEX($D51:R51,1,MATCH(R$63-$C73+1,$D$41:R$41)),0)</f>
        <v>0</v>
      </c>
      <c r="S73" s="26">
        <f>IF(S$63&gt;=$C73,INDEX($D51:S51,1,MATCH(S$63-$C73+1,$D$41:S$41)),0)</f>
        <v>2</v>
      </c>
      <c r="T73" s="26">
        <f>IF(T$63&gt;=$C73,INDEX($D51:T51,1,MATCH(T$63-$C73+1,$D$41:T$41)),0)</f>
        <v>0</v>
      </c>
      <c r="U73" s="26">
        <f>IF(U$63&gt;=$C73,INDEX($D51:U51,1,MATCH(U$63-$C73+1,$D$41:U$41)),0)</f>
        <v>0</v>
      </c>
      <c r="V73" s="26">
        <f>IF(V$63&gt;=$C73,INDEX($D51:V51,1,MATCH(V$63-$C73+1,$D$41:V$41)),0)</f>
        <v>0</v>
      </c>
      <c r="W73" s="26">
        <f>IF(W$63&gt;=$C73,INDEX($D51:W51,1,MATCH(W$63-$C73+1,$D$41:W$41)),0)</f>
        <v>0</v>
      </c>
      <c r="Z73" s="26">
        <v>0</v>
      </c>
      <c r="AA73" s="26">
        <f>IF(AA$63&gt;=$C73,INDEX($Z51:AA51,1,MATCH(AA$63-$C73+1,$Z$41:AA$41)),0)</f>
        <v>0</v>
      </c>
      <c r="AB73" s="26">
        <f>IF(AB$63&gt;=$C73,INDEX($Z51:AB51,1,MATCH(AB$63-$C73+1,$Z$41:AB$41)),0)</f>
        <v>0</v>
      </c>
      <c r="AC73" s="26">
        <f>IF(AC$63&gt;=$C73,INDEX($Z51:AC51,1,MATCH(AC$63-$C73+1,$Z$41:AC$41)),0)</f>
        <v>0</v>
      </c>
      <c r="AD73" s="26">
        <f>IF(AD$63&gt;=$C73,INDEX($Z51:AD51,1,MATCH(AD$63-$C73+1,$Z$41:AD$41)),0)</f>
        <v>0</v>
      </c>
      <c r="AE73" s="26">
        <f>IF(AE$63&gt;=$C73,INDEX($Z51:AE51,1,MATCH(AE$63-$C73+1,$Z$41:AE$41)),0)</f>
        <v>0</v>
      </c>
      <c r="AF73" s="26">
        <f>IF(AF$63&gt;=$C73,INDEX($Z51:AF51,1,MATCH(AF$63-$C73+1,$Z$41:AF$41)),0)</f>
        <v>0</v>
      </c>
      <c r="AG73" s="26">
        <f>IF(AG$63&gt;=$C73,INDEX($Z51:AG51,1,MATCH(AG$63-$C73+1,$Z$41:AG$41)),0)</f>
        <v>2</v>
      </c>
      <c r="AH73" s="26">
        <f>IF(AH$63&gt;=$C73,INDEX($Z51:AH51,1,MATCH(AH$63-$C73+1,$Z$41:AH$41)),0)</f>
        <v>0</v>
      </c>
      <c r="AI73" s="26">
        <f>IF(AI$63&gt;=$C73,INDEX($Z51:AI51,1,MATCH(AI$63-$C73+1,$Z$41:AI$41)),0)</f>
        <v>0</v>
      </c>
      <c r="AJ73" s="26">
        <f>IF(AJ$63&gt;=$C73,INDEX($Z51:AJ51,1,MATCH(AJ$63-$C73+1,$Z$41:AJ$41)),0)</f>
        <v>0</v>
      </c>
      <c r="AK73" s="26">
        <f>IF(AK$63&gt;=$C73,INDEX($Z51:AK51,1,MATCH(AK$63-$C73+1,$Z$41:AK$41)),0)</f>
        <v>0</v>
      </c>
      <c r="AL73" s="26">
        <f>IF(AL$63&gt;=$C73,INDEX($Z51:AL51,1,MATCH(AL$63-$C73+1,$Z$41:AL$41)),0)</f>
        <v>0</v>
      </c>
      <c r="AM73" s="26">
        <f>IF(AM$63&gt;=$C73,INDEX($Z51:AM51,1,MATCH(AM$63-$C73+1,$Z$41:AM$41)),0)</f>
        <v>0</v>
      </c>
      <c r="AN73" s="26">
        <f>IF(AN$63&gt;=$C73,INDEX($Z51:AN51,1,MATCH(AN$63-$C73+1,$Z$41:AN$41)),0)</f>
        <v>0</v>
      </c>
      <c r="AO73" s="26">
        <f>IF(AO$63&gt;=$C73,INDEX($Z51:AO51,1,MATCH(AO$63-$C73+1,$Z$41:AO$41)),0)</f>
        <v>2</v>
      </c>
      <c r="AP73" s="26">
        <f>IF(AP$63&gt;=$C73,INDEX($Z51:AP51,1,MATCH(AP$63-$C73+1,$Z$41:AP$41)),0)</f>
        <v>0</v>
      </c>
      <c r="AQ73" s="26">
        <f>IF(AQ$63&gt;=$C73,INDEX($Z51:AQ51,1,MATCH(AQ$63-$C73+1,$Z$41:AQ$41)),0)</f>
        <v>0</v>
      </c>
      <c r="AR73" s="26">
        <f>IF(AR$63&gt;=$C73,INDEX($Z51:AR51,1,MATCH(AR$63-$C73+1,$Z$41:AR$41)),0)</f>
        <v>0</v>
      </c>
      <c r="AS73" s="26">
        <f>IF(AS$63&gt;=$C73,INDEX($Z51:AS51,1,MATCH(AS$63-$C73+1,$Z$41:AS$41)),0)</f>
        <v>0</v>
      </c>
    </row>
    <row r="74" spans="1:49" x14ac:dyDescent="0.35">
      <c r="A74" s="7" t="str">
        <v>Serving - Call session control function software</v>
      </c>
      <c r="C74" s="9">
        <v>8</v>
      </c>
      <c r="D74" s="73">
        <v>0</v>
      </c>
      <c r="E74" s="26">
        <f>IF(E$63&gt;=$C74,INDEX($D52:E52,1,MATCH(E$63-$C74+1,$D$41:E$41)),0)</f>
        <v>0</v>
      </c>
      <c r="F74" s="26">
        <f>IF(F$63&gt;=$C74,INDEX($D52:F52,1,MATCH(F$63-$C74+1,$D$41:F$41)),0)</f>
        <v>0</v>
      </c>
      <c r="G74" s="26">
        <f>IF(G$63&gt;=$C74,INDEX($D52:G52,1,MATCH(G$63-$C74+1,$D$41:G$41)),0)</f>
        <v>0</v>
      </c>
      <c r="H74" s="26">
        <f>IF(H$63&gt;=$C74,INDEX($D52:H52,1,MATCH(H$63-$C74+1,$D$41:H$41)),0)</f>
        <v>0</v>
      </c>
      <c r="I74" s="26">
        <f>IF(I$63&gt;=$C74,INDEX($D52:I52,1,MATCH(I$63-$C74+1,$D$41:I$41)),0)</f>
        <v>0</v>
      </c>
      <c r="J74" s="26">
        <f>IF(J$63&gt;=$C74,INDEX($D52:J52,1,MATCH(J$63-$C74+1,$D$41:J$41)),0)</f>
        <v>0</v>
      </c>
      <c r="K74" s="26">
        <f>IF(K$63&gt;=$C74,INDEX($D52:K52,1,MATCH(K$63-$C74+1,$D$41:K$41)),0)</f>
        <v>1714</v>
      </c>
      <c r="L74" s="26">
        <f>IF(L$63&gt;=$C74,INDEX($D52:L52,1,MATCH(L$63-$C74+1,$D$41:L$41)),0)</f>
        <v>0</v>
      </c>
      <c r="M74" s="26">
        <f>IF(M$63&gt;=$C74,INDEX($D52:M52,1,MATCH(M$63-$C74+1,$D$41:M$41)),0)</f>
        <v>0</v>
      </c>
      <c r="N74" s="26">
        <f>IF(N$63&gt;=$C74,INDEX($D52:N52,1,MATCH(N$63-$C74+1,$D$41:N$41)),0)</f>
        <v>0</v>
      </c>
      <c r="O74" s="26">
        <f>IF(O$63&gt;=$C74,INDEX($D52:O52,1,MATCH(O$63-$C74+1,$D$41:O$41)),0)</f>
        <v>0</v>
      </c>
      <c r="P74" s="26">
        <f>IF(P$63&gt;=$C74,INDEX($D52:P52,1,MATCH(P$63-$C74+1,$D$41:P$41)),0)</f>
        <v>0</v>
      </c>
      <c r="Q74" s="26">
        <f>IF(Q$63&gt;=$C74,INDEX($D52:Q52,1,MATCH(Q$63-$C74+1,$D$41:Q$41)),0)</f>
        <v>0</v>
      </c>
      <c r="R74" s="26">
        <f>IF(R$63&gt;=$C74,INDEX($D52:R52,1,MATCH(R$63-$C74+1,$D$41:R$41)),0)</f>
        <v>0</v>
      </c>
      <c r="S74" s="26">
        <f>IF(S$63&gt;=$C74,INDEX($D52:S52,1,MATCH(S$63-$C74+1,$D$41:S$41)),0)</f>
        <v>758</v>
      </c>
      <c r="T74" s="26">
        <f>IF(T$63&gt;=$C74,INDEX($D52:T52,1,MATCH(T$63-$C74+1,$D$41:T$41)),0)</f>
        <v>0</v>
      </c>
      <c r="U74" s="26">
        <f>IF(U$63&gt;=$C74,INDEX($D52:U52,1,MATCH(U$63-$C74+1,$D$41:U$41)),0)</f>
        <v>0</v>
      </c>
      <c r="V74" s="26">
        <f>IF(V$63&gt;=$C74,INDEX($D52:V52,1,MATCH(V$63-$C74+1,$D$41:V$41)),0)</f>
        <v>0</v>
      </c>
      <c r="W74" s="26">
        <f>IF(W$63&gt;=$C74,INDEX($D52:W52,1,MATCH(W$63-$C74+1,$D$41:W$41)),0)</f>
        <v>0</v>
      </c>
      <c r="Z74" s="26">
        <v>0</v>
      </c>
      <c r="AA74" s="26">
        <f>IF(AA$63&gt;=$C74,INDEX($Z52:AA52,1,MATCH(AA$63-$C74+1,$Z$41:AA$41)),0)</f>
        <v>0</v>
      </c>
      <c r="AB74" s="26">
        <f>IF(AB$63&gt;=$C74,INDEX($Z52:AB52,1,MATCH(AB$63-$C74+1,$Z$41:AB$41)),0)</f>
        <v>0</v>
      </c>
      <c r="AC74" s="26">
        <f>IF(AC$63&gt;=$C74,INDEX($Z52:AC52,1,MATCH(AC$63-$C74+1,$Z$41:AC$41)),0)</f>
        <v>0</v>
      </c>
      <c r="AD74" s="26">
        <f>IF(AD$63&gt;=$C74,INDEX($Z52:AD52,1,MATCH(AD$63-$C74+1,$Z$41:AD$41)),0)</f>
        <v>0</v>
      </c>
      <c r="AE74" s="26">
        <f>IF(AE$63&gt;=$C74,INDEX($Z52:AE52,1,MATCH(AE$63-$C74+1,$Z$41:AE$41)),0)</f>
        <v>0</v>
      </c>
      <c r="AF74" s="26">
        <f>IF(AF$63&gt;=$C74,INDEX($Z52:AF52,1,MATCH(AF$63-$C74+1,$Z$41:AF$41)),0)</f>
        <v>0</v>
      </c>
      <c r="AG74" s="26">
        <f>IF(AG$63&gt;=$C74,INDEX($Z52:AG52,1,MATCH(AG$63-$C74+1,$Z$41:AG$41)),0)</f>
        <v>1266</v>
      </c>
      <c r="AH74" s="26">
        <f>IF(AH$63&gt;=$C74,INDEX($Z52:AH52,1,MATCH(AH$63-$C74+1,$Z$41:AH$41)),0)</f>
        <v>0</v>
      </c>
      <c r="AI74" s="26">
        <f>IF(AI$63&gt;=$C74,INDEX($Z52:AI52,1,MATCH(AI$63-$C74+1,$Z$41:AI$41)),0)</f>
        <v>0</v>
      </c>
      <c r="AJ74" s="26">
        <f>IF(AJ$63&gt;=$C74,INDEX($Z52:AJ52,1,MATCH(AJ$63-$C74+1,$Z$41:AJ$41)),0)</f>
        <v>0</v>
      </c>
      <c r="AK74" s="26">
        <f>IF(AK$63&gt;=$C74,INDEX($Z52:AK52,1,MATCH(AK$63-$C74+1,$Z$41:AK$41)),0)</f>
        <v>0</v>
      </c>
      <c r="AL74" s="26">
        <f>IF(AL$63&gt;=$C74,INDEX($Z52:AL52,1,MATCH(AL$63-$C74+1,$Z$41:AL$41)),0)</f>
        <v>0</v>
      </c>
      <c r="AM74" s="26">
        <f>IF(AM$63&gt;=$C74,INDEX($Z52:AM52,1,MATCH(AM$63-$C74+1,$Z$41:AM$41)),0)</f>
        <v>0</v>
      </c>
      <c r="AN74" s="26">
        <f>IF(AN$63&gt;=$C74,INDEX($Z52:AN52,1,MATCH(AN$63-$C74+1,$Z$41:AN$41)),0)</f>
        <v>0</v>
      </c>
      <c r="AO74" s="26">
        <f>IF(AO$63&gt;=$C74,INDEX($Z52:AO52,1,MATCH(AO$63-$C74+1,$Z$41:AO$41)),0)</f>
        <v>528</v>
      </c>
      <c r="AP74" s="26">
        <f>IF(AP$63&gt;=$C74,INDEX($Z52:AP52,1,MATCH(AP$63-$C74+1,$Z$41:AP$41)),0)</f>
        <v>0</v>
      </c>
      <c r="AQ74" s="26">
        <f>IF(AQ$63&gt;=$C74,INDEX($Z52:AQ52,1,MATCH(AQ$63-$C74+1,$Z$41:AQ$41)),0)</f>
        <v>0</v>
      </c>
      <c r="AR74" s="26">
        <f>IF(AR$63&gt;=$C74,INDEX($Z52:AR52,1,MATCH(AR$63-$C74+1,$Z$41:AR$41)),0)</f>
        <v>0</v>
      </c>
      <c r="AS74" s="26">
        <f>IF(AS$63&gt;=$C74,INDEX($Z52:AS52,1,MATCH(AS$63-$C74+1,$Z$41:AS$41)),0)</f>
        <v>0</v>
      </c>
    </row>
    <row r="75" spans="1:49" x14ac:dyDescent="0.35">
      <c r="A75" s="7" t="str">
        <v>Media resource function - hardware</v>
      </c>
      <c r="C75" s="9">
        <v>8</v>
      </c>
      <c r="D75" s="73">
        <v>0</v>
      </c>
      <c r="E75" s="26">
        <f>IF(E$63&gt;=$C75,INDEX($D53:E53,1,MATCH(E$63-$C75+1,$D$41:E$41)),0)</f>
        <v>0</v>
      </c>
      <c r="F75" s="26">
        <f>IF(F$63&gt;=$C75,INDEX($D53:F53,1,MATCH(F$63-$C75+1,$D$41:F$41)),0)</f>
        <v>0</v>
      </c>
      <c r="G75" s="26">
        <f>IF(G$63&gt;=$C75,INDEX($D53:G53,1,MATCH(G$63-$C75+1,$D$41:G$41)),0)</f>
        <v>0</v>
      </c>
      <c r="H75" s="26">
        <f>IF(H$63&gt;=$C75,INDEX($D53:H53,1,MATCH(H$63-$C75+1,$D$41:H$41)),0)</f>
        <v>0</v>
      </c>
      <c r="I75" s="26">
        <f>IF(I$63&gt;=$C75,INDEX($D53:I53,1,MATCH(I$63-$C75+1,$D$41:I$41)),0)</f>
        <v>0</v>
      </c>
      <c r="J75" s="26">
        <f>IF(J$63&gt;=$C75,INDEX($D53:J53,1,MATCH(J$63-$C75+1,$D$41:J$41)),0)</f>
        <v>0</v>
      </c>
      <c r="K75" s="26">
        <f>IF(K$63&gt;=$C75,INDEX($D53:K53,1,MATCH(K$63-$C75+1,$D$41:K$41)),0)</f>
        <v>14</v>
      </c>
      <c r="L75" s="26">
        <f>IF(L$63&gt;=$C75,INDEX($D53:L53,1,MATCH(L$63-$C75+1,$D$41:L$41)),0)</f>
        <v>0</v>
      </c>
      <c r="M75" s="26">
        <f>IF(M$63&gt;=$C75,INDEX($D53:M53,1,MATCH(M$63-$C75+1,$D$41:M$41)),0)</f>
        <v>0</v>
      </c>
      <c r="N75" s="26">
        <f>IF(N$63&gt;=$C75,INDEX($D53:N53,1,MATCH(N$63-$C75+1,$D$41:N$41)),0)</f>
        <v>0</v>
      </c>
      <c r="O75" s="26">
        <f>IF(O$63&gt;=$C75,INDEX($D53:O53,1,MATCH(O$63-$C75+1,$D$41:O$41)),0)</f>
        <v>0</v>
      </c>
      <c r="P75" s="26">
        <f>IF(P$63&gt;=$C75,INDEX($D53:P53,1,MATCH(P$63-$C75+1,$D$41:P$41)),0)</f>
        <v>0</v>
      </c>
      <c r="Q75" s="26">
        <f>IF(Q$63&gt;=$C75,INDEX($D53:Q53,1,MATCH(Q$63-$C75+1,$D$41:Q$41)),0)</f>
        <v>0</v>
      </c>
      <c r="R75" s="26">
        <f>IF(R$63&gt;=$C75,INDEX($D53:R53,1,MATCH(R$63-$C75+1,$D$41:R$41)),0)</f>
        <v>0</v>
      </c>
      <c r="S75" s="26">
        <f>IF(S$63&gt;=$C75,INDEX($D53:S53,1,MATCH(S$63-$C75+1,$D$41:S$41)),0)</f>
        <v>6</v>
      </c>
      <c r="T75" s="26">
        <f>IF(T$63&gt;=$C75,INDEX($D53:T53,1,MATCH(T$63-$C75+1,$D$41:T$41)),0)</f>
        <v>0</v>
      </c>
      <c r="U75" s="26">
        <f>IF(U$63&gt;=$C75,INDEX($D53:U53,1,MATCH(U$63-$C75+1,$D$41:U$41)),0)</f>
        <v>0</v>
      </c>
      <c r="V75" s="26">
        <f>IF(V$63&gt;=$C75,INDEX($D53:V53,1,MATCH(V$63-$C75+1,$D$41:V$41)),0)</f>
        <v>0</v>
      </c>
      <c r="W75" s="26">
        <f>IF(W$63&gt;=$C75,INDEX($D53:W53,1,MATCH(W$63-$C75+1,$D$41:W$41)),0)</f>
        <v>0</v>
      </c>
      <c r="Z75" s="26">
        <v>0</v>
      </c>
      <c r="AA75" s="26">
        <f>IF(AA$63&gt;=$C75,INDEX($Z53:AA53,1,MATCH(AA$63-$C75+1,$Z$41:AA$41)),0)</f>
        <v>0</v>
      </c>
      <c r="AB75" s="26">
        <f>IF(AB$63&gt;=$C75,INDEX($Z53:AB53,1,MATCH(AB$63-$C75+1,$Z$41:AB$41)),0)</f>
        <v>0</v>
      </c>
      <c r="AC75" s="26">
        <f>IF(AC$63&gt;=$C75,INDEX($Z53:AC53,1,MATCH(AC$63-$C75+1,$Z$41:AC$41)),0)</f>
        <v>0</v>
      </c>
      <c r="AD75" s="26">
        <f>IF(AD$63&gt;=$C75,INDEX($Z53:AD53,1,MATCH(AD$63-$C75+1,$Z$41:AD$41)),0)</f>
        <v>0</v>
      </c>
      <c r="AE75" s="26">
        <f>IF(AE$63&gt;=$C75,INDEX($Z53:AE53,1,MATCH(AE$63-$C75+1,$Z$41:AE$41)),0)</f>
        <v>0</v>
      </c>
      <c r="AF75" s="26">
        <f>IF(AF$63&gt;=$C75,INDEX($Z53:AF53,1,MATCH(AF$63-$C75+1,$Z$41:AF$41)),0)</f>
        <v>0</v>
      </c>
      <c r="AG75" s="26">
        <f>IF(AG$63&gt;=$C75,INDEX($Z53:AG53,1,MATCH(AG$63-$C75+1,$Z$41:AG$41)),0)</f>
        <v>10</v>
      </c>
      <c r="AH75" s="26">
        <f>IF(AH$63&gt;=$C75,INDEX($Z53:AH53,1,MATCH(AH$63-$C75+1,$Z$41:AH$41)),0)</f>
        <v>0</v>
      </c>
      <c r="AI75" s="26">
        <f>IF(AI$63&gt;=$C75,INDEX($Z53:AI53,1,MATCH(AI$63-$C75+1,$Z$41:AI$41)),0)</f>
        <v>0</v>
      </c>
      <c r="AJ75" s="26">
        <f>IF(AJ$63&gt;=$C75,INDEX($Z53:AJ53,1,MATCH(AJ$63-$C75+1,$Z$41:AJ$41)),0)</f>
        <v>0</v>
      </c>
      <c r="AK75" s="26">
        <f>IF(AK$63&gt;=$C75,INDEX($Z53:AK53,1,MATCH(AK$63-$C75+1,$Z$41:AK$41)),0)</f>
        <v>0</v>
      </c>
      <c r="AL75" s="26">
        <f>IF(AL$63&gt;=$C75,INDEX($Z53:AL53,1,MATCH(AL$63-$C75+1,$Z$41:AL$41)),0)</f>
        <v>0</v>
      </c>
      <c r="AM75" s="26">
        <f>IF(AM$63&gt;=$C75,INDEX($Z53:AM53,1,MATCH(AM$63-$C75+1,$Z$41:AM$41)),0)</f>
        <v>0</v>
      </c>
      <c r="AN75" s="26">
        <f>IF(AN$63&gt;=$C75,INDEX($Z53:AN53,1,MATCH(AN$63-$C75+1,$Z$41:AN$41)),0)</f>
        <v>0</v>
      </c>
      <c r="AO75" s="26">
        <f>IF(AO$63&gt;=$C75,INDEX($Z53:AO53,1,MATCH(AO$63-$C75+1,$Z$41:AO$41)),0)</f>
        <v>4</v>
      </c>
      <c r="AP75" s="26">
        <f>IF(AP$63&gt;=$C75,INDEX($Z53:AP53,1,MATCH(AP$63-$C75+1,$Z$41:AP$41)),0)</f>
        <v>0</v>
      </c>
      <c r="AQ75" s="26">
        <f>IF(AQ$63&gt;=$C75,INDEX($Z53:AQ53,1,MATCH(AQ$63-$C75+1,$Z$41:AQ$41)),0)</f>
        <v>0</v>
      </c>
      <c r="AR75" s="26">
        <f>IF(AR$63&gt;=$C75,INDEX($Z53:AR53,1,MATCH(AR$63-$C75+1,$Z$41:AR$41)),0)</f>
        <v>0</v>
      </c>
      <c r="AS75" s="26">
        <f>IF(AS$63&gt;=$C75,INDEX($Z53:AS53,1,MATCH(AS$63-$C75+1,$Z$41:AS$41)),0)</f>
        <v>0</v>
      </c>
    </row>
    <row r="76" spans="1:49" x14ac:dyDescent="0.35">
      <c r="A76" s="7" t="str">
        <v>Media resource function - software</v>
      </c>
      <c r="C76" s="9">
        <v>8</v>
      </c>
      <c r="D76" s="73">
        <v>0</v>
      </c>
      <c r="E76" s="26">
        <f>IF(E$63&gt;=$C76,INDEX($D54:E54,1,MATCH(E$63-$C76+1,$D$41:E$41)),0)</f>
        <v>0</v>
      </c>
      <c r="F76" s="26">
        <f>IF(F$63&gt;=$C76,INDEX($D54:F54,1,MATCH(F$63-$C76+1,$D$41:F$41)),0)</f>
        <v>0</v>
      </c>
      <c r="G76" s="26">
        <f>IF(G$63&gt;=$C76,INDEX($D54:G54,1,MATCH(G$63-$C76+1,$D$41:G$41)),0)</f>
        <v>0</v>
      </c>
      <c r="H76" s="26">
        <f>IF(H$63&gt;=$C76,INDEX($D54:H54,1,MATCH(H$63-$C76+1,$D$41:H$41)),0)</f>
        <v>0</v>
      </c>
      <c r="I76" s="26">
        <f>IF(I$63&gt;=$C76,INDEX($D54:I54,1,MATCH(I$63-$C76+1,$D$41:I$41)),0)</f>
        <v>0</v>
      </c>
      <c r="J76" s="26">
        <f>IF(J$63&gt;=$C76,INDEX($D54:J54,1,MATCH(J$63-$C76+1,$D$41:J$41)),0)</f>
        <v>0</v>
      </c>
      <c r="K76" s="26">
        <f>IF(K$63&gt;=$C76,INDEX($D54:K54,1,MATCH(K$63-$C76+1,$D$41:K$41)),0)</f>
        <v>142152</v>
      </c>
      <c r="L76" s="26">
        <f>IF(L$63&gt;=$C76,INDEX($D54:L54,1,MATCH(L$63-$C76+1,$D$41:L$41)),0)</f>
        <v>0</v>
      </c>
      <c r="M76" s="26">
        <f>IF(M$63&gt;=$C76,INDEX($D54:M54,1,MATCH(M$63-$C76+1,$D$41:M$41)),0)</f>
        <v>0</v>
      </c>
      <c r="N76" s="26">
        <f>IF(N$63&gt;=$C76,INDEX($D54:N54,1,MATCH(N$63-$C76+1,$D$41:N$41)),0)</f>
        <v>0</v>
      </c>
      <c r="O76" s="26">
        <f>IF(O$63&gt;=$C76,INDEX($D54:O54,1,MATCH(O$63-$C76+1,$D$41:O$41)),0)</f>
        <v>0</v>
      </c>
      <c r="P76" s="26">
        <f>IF(P$63&gt;=$C76,INDEX($D54:P54,1,MATCH(P$63-$C76+1,$D$41:P$41)),0)</f>
        <v>0</v>
      </c>
      <c r="Q76" s="26">
        <f>IF(Q$63&gt;=$C76,INDEX($D54:Q54,1,MATCH(Q$63-$C76+1,$D$41:Q$41)),0)</f>
        <v>0</v>
      </c>
      <c r="R76" s="26">
        <f>IF(R$63&gt;=$C76,INDEX($D54:R54,1,MATCH(R$63-$C76+1,$D$41:R$41)),0)</f>
        <v>0</v>
      </c>
      <c r="S76" s="26">
        <f>IF(S$63&gt;=$C76,INDEX($D54:S54,1,MATCH(S$63-$C76+1,$D$41:S$41)),0)</f>
        <v>61638</v>
      </c>
      <c r="T76" s="26">
        <f>IF(T$63&gt;=$C76,INDEX($D54:T54,1,MATCH(T$63-$C76+1,$D$41:T$41)),0)</f>
        <v>0</v>
      </c>
      <c r="U76" s="26">
        <f>IF(U$63&gt;=$C76,INDEX($D54:U54,1,MATCH(U$63-$C76+1,$D$41:U$41)),0)</f>
        <v>0</v>
      </c>
      <c r="V76" s="26">
        <f>IF(V$63&gt;=$C76,INDEX($D54:V54,1,MATCH(V$63-$C76+1,$D$41:V$41)),0)</f>
        <v>0</v>
      </c>
      <c r="W76" s="26">
        <f>IF(W$63&gt;=$C76,INDEX($D54:W54,1,MATCH(W$63-$C76+1,$D$41:W$41)),0)</f>
        <v>0</v>
      </c>
      <c r="Z76" s="26">
        <v>0</v>
      </c>
      <c r="AA76" s="26">
        <f>IF(AA$63&gt;=$C76,INDEX($Z54:AA54,1,MATCH(AA$63-$C76+1,$Z$41:AA$41)),0)</f>
        <v>0</v>
      </c>
      <c r="AB76" s="26">
        <f>IF(AB$63&gt;=$C76,INDEX($Z54:AB54,1,MATCH(AB$63-$C76+1,$Z$41:AB$41)),0)</f>
        <v>0</v>
      </c>
      <c r="AC76" s="26">
        <f>IF(AC$63&gt;=$C76,INDEX($Z54:AC54,1,MATCH(AC$63-$C76+1,$Z$41:AC$41)),0)</f>
        <v>0</v>
      </c>
      <c r="AD76" s="26">
        <f>IF(AD$63&gt;=$C76,INDEX($Z54:AD54,1,MATCH(AD$63-$C76+1,$Z$41:AD$41)),0)</f>
        <v>0</v>
      </c>
      <c r="AE76" s="26">
        <f>IF(AE$63&gt;=$C76,INDEX($Z54:AE54,1,MATCH(AE$63-$C76+1,$Z$41:AE$41)),0)</f>
        <v>0</v>
      </c>
      <c r="AF76" s="26">
        <f>IF(AF$63&gt;=$C76,INDEX($Z54:AF54,1,MATCH(AF$63-$C76+1,$Z$41:AF$41)),0)</f>
        <v>0</v>
      </c>
      <c r="AG76" s="26">
        <f>IF(AG$63&gt;=$C76,INDEX($Z54:AG54,1,MATCH(AG$63-$C76+1,$Z$41:AG$41)),0)</f>
        <v>110792</v>
      </c>
      <c r="AH76" s="26">
        <f>IF(AH$63&gt;=$C76,INDEX($Z54:AH54,1,MATCH(AH$63-$C76+1,$Z$41:AH$41)),0)</f>
        <v>0</v>
      </c>
      <c r="AI76" s="26">
        <f>IF(AI$63&gt;=$C76,INDEX($Z54:AI54,1,MATCH(AI$63-$C76+1,$Z$41:AI$41)),0)</f>
        <v>0</v>
      </c>
      <c r="AJ76" s="26">
        <f>IF(AJ$63&gt;=$C76,INDEX($Z54:AJ54,1,MATCH(AJ$63-$C76+1,$Z$41:AJ$41)),0)</f>
        <v>0</v>
      </c>
      <c r="AK76" s="26">
        <f>IF(AK$63&gt;=$C76,INDEX($Z54:AK54,1,MATCH(AK$63-$C76+1,$Z$41:AK$41)),0)</f>
        <v>0</v>
      </c>
      <c r="AL76" s="26">
        <f>IF(AL$63&gt;=$C76,INDEX($Z54:AL54,1,MATCH(AL$63-$C76+1,$Z$41:AL$41)),0)</f>
        <v>0</v>
      </c>
      <c r="AM76" s="26">
        <f>IF(AM$63&gt;=$C76,INDEX($Z54:AM54,1,MATCH(AM$63-$C76+1,$Z$41:AM$41)),0)</f>
        <v>0</v>
      </c>
      <c r="AN76" s="26">
        <f>IF(AN$63&gt;=$C76,INDEX($Z54:AN54,1,MATCH(AN$63-$C76+1,$Z$41:AN$41)),0)</f>
        <v>0</v>
      </c>
      <c r="AO76" s="26">
        <f>IF(AO$63&gt;=$C76,INDEX($Z54:AO54,1,MATCH(AO$63-$C76+1,$Z$41:AO$41)),0)</f>
        <v>45580</v>
      </c>
      <c r="AP76" s="26">
        <f>IF(AP$63&gt;=$C76,INDEX($Z54:AP54,1,MATCH(AP$63-$C76+1,$Z$41:AP$41)),0)</f>
        <v>0</v>
      </c>
      <c r="AQ76" s="26">
        <f>IF(AQ$63&gt;=$C76,INDEX($Z54:AQ54,1,MATCH(AQ$63-$C76+1,$Z$41:AQ$41)),0)</f>
        <v>0</v>
      </c>
      <c r="AR76" s="26">
        <f>IF(AR$63&gt;=$C76,INDEX($Z54:AR54,1,MATCH(AR$63-$C76+1,$Z$41:AR$41)),0)</f>
        <v>0</v>
      </c>
      <c r="AS76" s="26">
        <f>IF(AS$63&gt;=$C76,INDEX($Z54:AS54,1,MATCH(AS$63-$C76+1,$Z$41:AS$41)),0)</f>
        <v>0</v>
      </c>
    </row>
    <row r="77" spans="1:49" x14ac:dyDescent="0.35">
      <c r="A77" s="7" t="str">
        <v>Access session border controller - hardware</v>
      </c>
      <c r="C77" s="9">
        <v>8</v>
      </c>
      <c r="D77" s="73">
        <v>0</v>
      </c>
      <c r="E77" s="26">
        <f>IF(E$63&gt;=$C77,INDEX($D55:E55,1,MATCH(E$63-$C77+1,$D$41:E$41)),0)</f>
        <v>0</v>
      </c>
      <c r="F77" s="26">
        <f>IF(F$63&gt;=$C77,INDEX($D55:F55,1,MATCH(F$63-$C77+1,$D$41:F$41)),0)</f>
        <v>0</v>
      </c>
      <c r="G77" s="26">
        <f>IF(G$63&gt;=$C77,INDEX($D55:G55,1,MATCH(G$63-$C77+1,$D$41:G$41)),0)</f>
        <v>0</v>
      </c>
      <c r="H77" s="26">
        <f>IF(H$63&gt;=$C77,INDEX($D55:H55,1,MATCH(H$63-$C77+1,$D$41:H$41)),0)</f>
        <v>0</v>
      </c>
      <c r="I77" s="26">
        <f>IF(I$63&gt;=$C77,INDEX($D55:I55,1,MATCH(I$63-$C77+1,$D$41:I$41)),0)</f>
        <v>0</v>
      </c>
      <c r="J77" s="26">
        <f>IF(J$63&gt;=$C77,INDEX($D55:J55,1,MATCH(J$63-$C77+1,$D$41:J$41)),0)</f>
        <v>0</v>
      </c>
      <c r="K77" s="26">
        <f>IF(K$63&gt;=$C77,INDEX($D55:K55,1,MATCH(K$63-$C77+1,$D$41:K$41)),0)</f>
        <v>6</v>
      </c>
      <c r="L77" s="26">
        <f>IF(L$63&gt;=$C77,INDEX($D55:L55,1,MATCH(L$63-$C77+1,$D$41:L$41)),0)</f>
        <v>0</v>
      </c>
      <c r="M77" s="26">
        <f>IF(M$63&gt;=$C77,INDEX($D55:M55,1,MATCH(M$63-$C77+1,$D$41:M$41)),0)</f>
        <v>0</v>
      </c>
      <c r="N77" s="26">
        <f>IF(N$63&gt;=$C77,INDEX($D55:N55,1,MATCH(N$63-$C77+1,$D$41:N$41)),0)</f>
        <v>0</v>
      </c>
      <c r="O77" s="26">
        <f>IF(O$63&gt;=$C77,INDEX($D55:O55,1,MATCH(O$63-$C77+1,$D$41:O$41)),0)</f>
        <v>0</v>
      </c>
      <c r="P77" s="26">
        <f>IF(P$63&gt;=$C77,INDEX($D55:P55,1,MATCH(P$63-$C77+1,$D$41:P$41)),0)</f>
        <v>0</v>
      </c>
      <c r="Q77" s="26">
        <f>IF(Q$63&gt;=$C77,INDEX($D55:Q55,1,MATCH(Q$63-$C77+1,$D$41:Q$41)),0)</f>
        <v>0</v>
      </c>
      <c r="R77" s="26">
        <f>IF(R$63&gt;=$C77,INDEX($D55:R55,1,MATCH(R$63-$C77+1,$D$41:R$41)),0)</f>
        <v>0</v>
      </c>
      <c r="S77" s="26">
        <f>IF(S$63&gt;=$C77,INDEX($D55:S55,1,MATCH(S$63-$C77+1,$D$41:S$41)),0)</f>
        <v>2</v>
      </c>
      <c r="T77" s="26">
        <f>IF(T$63&gt;=$C77,INDEX($D55:T55,1,MATCH(T$63-$C77+1,$D$41:T$41)),0)</f>
        <v>0</v>
      </c>
      <c r="U77" s="26">
        <f>IF(U$63&gt;=$C77,INDEX($D55:U55,1,MATCH(U$63-$C77+1,$D$41:U$41)),0)</f>
        <v>0</v>
      </c>
      <c r="V77" s="26">
        <f>IF(V$63&gt;=$C77,INDEX($D55:V55,1,MATCH(V$63-$C77+1,$D$41:V$41)),0)</f>
        <v>0</v>
      </c>
      <c r="W77" s="26">
        <f>IF(W$63&gt;=$C77,INDEX($D55:W55,1,MATCH(W$63-$C77+1,$D$41:W$41)),0)</f>
        <v>0</v>
      </c>
      <c r="Z77" s="26">
        <v>0</v>
      </c>
      <c r="AA77" s="26">
        <f>IF(AA$63&gt;=$C77,INDEX($Z55:AA55,1,MATCH(AA$63-$C77+1,$Z$41:AA$41)),0)</f>
        <v>0</v>
      </c>
      <c r="AB77" s="26">
        <f>IF(AB$63&gt;=$C77,INDEX($Z55:AB55,1,MATCH(AB$63-$C77+1,$Z$41:AB$41)),0)</f>
        <v>0</v>
      </c>
      <c r="AC77" s="26">
        <f>IF(AC$63&gt;=$C77,INDEX($Z55:AC55,1,MATCH(AC$63-$C77+1,$Z$41:AC$41)),0)</f>
        <v>0</v>
      </c>
      <c r="AD77" s="26">
        <f>IF(AD$63&gt;=$C77,INDEX($Z55:AD55,1,MATCH(AD$63-$C77+1,$Z$41:AD$41)),0)</f>
        <v>0</v>
      </c>
      <c r="AE77" s="26">
        <f>IF(AE$63&gt;=$C77,INDEX($Z55:AE55,1,MATCH(AE$63-$C77+1,$Z$41:AE$41)),0)</f>
        <v>0</v>
      </c>
      <c r="AF77" s="26">
        <f>IF(AF$63&gt;=$C77,INDEX($Z55:AF55,1,MATCH(AF$63-$C77+1,$Z$41:AF$41)),0)</f>
        <v>0</v>
      </c>
      <c r="AG77" s="26">
        <f>IF(AG$63&gt;=$C77,INDEX($Z55:AG55,1,MATCH(AG$63-$C77+1,$Z$41:AG$41)),0)</f>
        <v>4</v>
      </c>
      <c r="AH77" s="26">
        <f>IF(AH$63&gt;=$C77,INDEX($Z55:AH55,1,MATCH(AH$63-$C77+1,$Z$41:AH$41)),0)</f>
        <v>0</v>
      </c>
      <c r="AI77" s="26">
        <f>IF(AI$63&gt;=$C77,INDEX($Z55:AI55,1,MATCH(AI$63-$C77+1,$Z$41:AI$41)),0)</f>
        <v>0</v>
      </c>
      <c r="AJ77" s="26">
        <f>IF(AJ$63&gt;=$C77,INDEX($Z55:AJ55,1,MATCH(AJ$63-$C77+1,$Z$41:AJ$41)),0)</f>
        <v>0</v>
      </c>
      <c r="AK77" s="26">
        <f>IF(AK$63&gt;=$C77,INDEX($Z55:AK55,1,MATCH(AK$63-$C77+1,$Z$41:AK$41)),0)</f>
        <v>0</v>
      </c>
      <c r="AL77" s="26">
        <f>IF(AL$63&gt;=$C77,INDEX($Z55:AL55,1,MATCH(AL$63-$C77+1,$Z$41:AL$41)),0)</f>
        <v>0</v>
      </c>
      <c r="AM77" s="26">
        <f>IF(AM$63&gt;=$C77,INDEX($Z55:AM55,1,MATCH(AM$63-$C77+1,$Z$41:AM$41)),0)</f>
        <v>0</v>
      </c>
      <c r="AN77" s="26">
        <f>IF(AN$63&gt;=$C77,INDEX($Z55:AN55,1,MATCH(AN$63-$C77+1,$Z$41:AN$41)),0)</f>
        <v>0</v>
      </c>
      <c r="AO77" s="26">
        <f>IF(AO$63&gt;=$C77,INDEX($Z55:AO55,1,MATCH(AO$63-$C77+1,$Z$41:AO$41)),0)</f>
        <v>2</v>
      </c>
      <c r="AP77" s="26">
        <f>IF(AP$63&gt;=$C77,INDEX($Z55:AP55,1,MATCH(AP$63-$C77+1,$Z$41:AP$41)),0)</f>
        <v>0</v>
      </c>
      <c r="AQ77" s="26">
        <f>IF(AQ$63&gt;=$C77,INDEX($Z55:AQ55,1,MATCH(AQ$63-$C77+1,$Z$41:AQ$41)),0)</f>
        <v>0</v>
      </c>
      <c r="AR77" s="26">
        <f>IF(AR$63&gt;=$C77,INDEX($Z55:AR55,1,MATCH(AR$63-$C77+1,$Z$41:AR$41)),0)</f>
        <v>0</v>
      </c>
      <c r="AS77" s="26">
        <f>IF(AS$63&gt;=$C77,INDEX($Z55:AS55,1,MATCH(AS$63-$C77+1,$Z$41:AS$41)),0)</f>
        <v>0</v>
      </c>
    </row>
    <row r="78" spans="1:49" x14ac:dyDescent="0.35">
      <c r="A78" s="7" t="str">
        <v>Access session border controller - software</v>
      </c>
      <c r="C78" s="9">
        <v>8</v>
      </c>
      <c r="D78" s="73">
        <v>0</v>
      </c>
      <c r="E78" s="26">
        <f>IF(E$63&gt;=$C78,INDEX($D56:E56,1,MATCH(E$63-$C78+1,$D$41:E$41)),0)</f>
        <v>0</v>
      </c>
      <c r="F78" s="26">
        <f>IF(F$63&gt;=$C78,INDEX($D56:F56,1,MATCH(F$63-$C78+1,$D$41:F$41)),0)</f>
        <v>0</v>
      </c>
      <c r="G78" s="26">
        <f>IF(G$63&gt;=$C78,INDEX($D56:G56,1,MATCH(G$63-$C78+1,$D$41:G$41)),0)</f>
        <v>0</v>
      </c>
      <c r="H78" s="26">
        <f>IF(H$63&gt;=$C78,INDEX($D56:H56,1,MATCH(H$63-$C78+1,$D$41:H$41)),0)</f>
        <v>0</v>
      </c>
      <c r="I78" s="26">
        <f>IF(I$63&gt;=$C78,INDEX($D56:I56,1,MATCH(I$63-$C78+1,$D$41:I$41)),0)</f>
        <v>0</v>
      </c>
      <c r="J78" s="26">
        <f>IF(J$63&gt;=$C78,INDEX($D56:J56,1,MATCH(J$63-$C78+1,$D$41:J$41)),0)</f>
        <v>0</v>
      </c>
      <c r="K78" s="26">
        <f>IF(K$63&gt;=$C78,INDEX($D56:K56,1,MATCH(K$63-$C78+1,$D$41:K$41)),0)</f>
        <v>10</v>
      </c>
      <c r="L78" s="26">
        <f>IF(L$63&gt;=$C78,INDEX($D56:L56,1,MATCH(L$63-$C78+1,$D$41:L$41)),0)</f>
        <v>0</v>
      </c>
      <c r="M78" s="26">
        <f>IF(M$63&gt;=$C78,INDEX($D56:M56,1,MATCH(M$63-$C78+1,$D$41:M$41)),0)</f>
        <v>0</v>
      </c>
      <c r="N78" s="26">
        <f>IF(N$63&gt;=$C78,INDEX($D56:N56,1,MATCH(N$63-$C78+1,$D$41:N$41)),0)</f>
        <v>0</v>
      </c>
      <c r="O78" s="26">
        <f>IF(O$63&gt;=$C78,INDEX($D56:O56,1,MATCH(O$63-$C78+1,$D$41:O$41)),0)</f>
        <v>0</v>
      </c>
      <c r="P78" s="26">
        <f>IF(P$63&gt;=$C78,INDEX($D56:P56,1,MATCH(P$63-$C78+1,$D$41:P$41)),0)</f>
        <v>0</v>
      </c>
      <c r="Q78" s="26">
        <f>IF(Q$63&gt;=$C78,INDEX($D56:Q56,1,MATCH(Q$63-$C78+1,$D$41:Q$41)),0)</f>
        <v>0</v>
      </c>
      <c r="R78" s="26">
        <f>IF(R$63&gt;=$C78,INDEX($D56:R56,1,MATCH(R$63-$C78+1,$D$41:R$41)),0)</f>
        <v>0</v>
      </c>
      <c r="S78" s="26">
        <f>IF(S$63&gt;=$C78,INDEX($D56:S56,1,MATCH(S$63-$C78+1,$D$41:S$41)),0)</f>
        <v>4</v>
      </c>
      <c r="T78" s="26">
        <f>IF(T$63&gt;=$C78,INDEX($D56:T56,1,MATCH(T$63-$C78+1,$D$41:T$41)),0)</f>
        <v>0</v>
      </c>
      <c r="U78" s="26">
        <f>IF(U$63&gt;=$C78,INDEX($D56:U56,1,MATCH(U$63-$C78+1,$D$41:U$41)),0)</f>
        <v>0</v>
      </c>
      <c r="V78" s="26">
        <f>IF(V$63&gt;=$C78,INDEX($D56:V56,1,MATCH(V$63-$C78+1,$D$41:V$41)),0)</f>
        <v>0</v>
      </c>
      <c r="W78" s="26">
        <f>IF(W$63&gt;=$C78,INDEX($D56:W56,1,MATCH(W$63-$C78+1,$D$41:W$41)),0)</f>
        <v>0</v>
      </c>
      <c r="Z78" s="26">
        <v>0</v>
      </c>
      <c r="AA78" s="26">
        <f>IF(AA$63&gt;=$C78,INDEX($Z56:AA56,1,MATCH(AA$63-$C78+1,$Z$41:AA$41)),0)</f>
        <v>0</v>
      </c>
      <c r="AB78" s="26">
        <f>IF(AB$63&gt;=$C78,INDEX($Z56:AB56,1,MATCH(AB$63-$C78+1,$Z$41:AB$41)),0)</f>
        <v>0</v>
      </c>
      <c r="AC78" s="26">
        <f>IF(AC$63&gt;=$C78,INDEX($Z56:AC56,1,MATCH(AC$63-$C78+1,$Z$41:AC$41)),0)</f>
        <v>0</v>
      </c>
      <c r="AD78" s="26">
        <f>IF(AD$63&gt;=$C78,INDEX($Z56:AD56,1,MATCH(AD$63-$C78+1,$Z$41:AD$41)),0)</f>
        <v>0</v>
      </c>
      <c r="AE78" s="26">
        <f>IF(AE$63&gt;=$C78,INDEX($Z56:AE56,1,MATCH(AE$63-$C78+1,$Z$41:AE$41)),0)</f>
        <v>0</v>
      </c>
      <c r="AF78" s="26">
        <f>IF(AF$63&gt;=$C78,INDEX($Z56:AF56,1,MATCH(AF$63-$C78+1,$Z$41:AF$41)),0)</f>
        <v>0</v>
      </c>
      <c r="AG78" s="26">
        <f>IF(AG$63&gt;=$C78,INDEX($Z56:AG56,1,MATCH(AG$63-$C78+1,$Z$41:AG$41)),0)</f>
        <v>8</v>
      </c>
      <c r="AH78" s="26">
        <f>IF(AH$63&gt;=$C78,INDEX($Z56:AH56,1,MATCH(AH$63-$C78+1,$Z$41:AH$41)),0)</f>
        <v>0</v>
      </c>
      <c r="AI78" s="26">
        <f>IF(AI$63&gt;=$C78,INDEX($Z56:AI56,1,MATCH(AI$63-$C78+1,$Z$41:AI$41)),0)</f>
        <v>0</v>
      </c>
      <c r="AJ78" s="26">
        <f>IF(AJ$63&gt;=$C78,INDEX($Z56:AJ56,1,MATCH(AJ$63-$C78+1,$Z$41:AJ$41)),0)</f>
        <v>0</v>
      </c>
      <c r="AK78" s="26">
        <f>IF(AK$63&gt;=$C78,INDEX($Z56:AK56,1,MATCH(AK$63-$C78+1,$Z$41:AK$41)),0)</f>
        <v>0</v>
      </c>
      <c r="AL78" s="26">
        <f>IF(AL$63&gt;=$C78,INDEX($Z56:AL56,1,MATCH(AL$63-$C78+1,$Z$41:AL$41)),0)</f>
        <v>0</v>
      </c>
      <c r="AM78" s="26">
        <f>IF(AM$63&gt;=$C78,INDEX($Z56:AM56,1,MATCH(AM$63-$C78+1,$Z$41:AM$41)),0)</f>
        <v>0</v>
      </c>
      <c r="AN78" s="26">
        <f>IF(AN$63&gt;=$C78,INDEX($Z56:AN56,1,MATCH(AN$63-$C78+1,$Z$41:AN$41)),0)</f>
        <v>0</v>
      </c>
      <c r="AO78" s="26">
        <f>IF(AO$63&gt;=$C78,INDEX($Z56:AO56,1,MATCH(AO$63-$C78+1,$Z$41:AO$41)),0)</f>
        <v>4</v>
      </c>
      <c r="AP78" s="26">
        <f>IF(AP$63&gt;=$C78,INDEX($Z56:AP56,1,MATCH(AP$63-$C78+1,$Z$41:AP$41)),0)</f>
        <v>0</v>
      </c>
      <c r="AQ78" s="26">
        <f>IF(AQ$63&gt;=$C78,INDEX($Z56:AQ56,1,MATCH(AQ$63-$C78+1,$Z$41:AQ$41)),0)</f>
        <v>0</v>
      </c>
      <c r="AR78" s="26">
        <f>IF(AR$63&gt;=$C78,INDEX($Z56:AR56,1,MATCH(AR$63-$C78+1,$Z$41:AR$41)),0)</f>
        <v>0</v>
      </c>
      <c r="AS78" s="26">
        <f>IF(AS$63&gt;=$C78,INDEX($Z56:AS56,1,MATCH(AS$63-$C78+1,$Z$41:AS$41)),0)</f>
        <v>0</v>
      </c>
    </row>
    <row r="79" spans="1:49" x14ac:dyDescent="0.35">
      <c r="A79" s="7" t="str">
        <v>Internet exchange point session border controller - hardware</v>
      </c>
      <c r="C79" s="9">
        <v>8</v>
      </c>
      <c r="D79" s="73">
        <v>0</v>
      </c>
      <c r="E79" s="26">
        <f>IF(E$63&gt;=$C79,INDEX($D57:E57,1,MATCH(E$63-$C79+1,$D$41:E$41)),0)</f>
        <v>0</v>
      </c>
      <c r="F79" s="26">
        <f>IF(F$63&gt;=$C79,INDEX($D57:F57,1,MATCH(F$63-$C79+1,$D$41:F$41)),0)</f>
        <v>0</v>
      </c>
      <c r="G79" s="26">
        <f>IF(G$63&gt;=$C79,INDEX($D57:G57,1,MATCH(G$63-$C79+1,$D$41:G$41)),0)</f>
        <v>0</v>
      </c>
      <c r="H79" s="26">
        <f>IF(H$63&gt;=$C79,INDEX($D57:H57,1,MATCH(H$63-$C79+1,$D$41:H$41)),0)</f>
        <v>0</v>
      </c>
      <c r="I79" s="26">
        <f>IF(I$63&gt;=$C79,INDEX($D57:I57,1,MATCH(I$63-$C79+1,$D$41:I$41)),0)</f>
        <v>0</v>
      </c>
      <c r="J79" s="26">
        <f>IF(J$63&gt;=$C79,INDEX($D57:J57,1,MATCH(J$63-$C79+1,$D$41:J$41)),0)</f>
        <v>0</v>
      </c>
      <c r="K79" s="26">
        <f>IF(K$63&gt;=$C79,INDEX($D57:K57,1,MATCH(K$63-$C79+1,$D$41:K$41)),0)</f>
        <v>4</v>
      </c>
      <c r="L79" s="26">
        <f>IF(L$63&gt;=$C79,INDEX($D57:L57,1,MATCH(L$63-$C79+1,$D$41:L$41)),0)</f>
        <v>0</v>
      </c>
      <c r="M79" s="26">
        <f>IF(M$63&gt;=$C79,INDEX($D57:M57,1,MATCH(M$63-$C79+1,$D$41:M$41)),0)</f>
        <v>0</v>
      </c>
      <c r="N79" s="26">
        <f>IF(N$63&gt;=$C79,INDEX($D57:N57,1,MATCH(N$63-$C79+1,$D$41:N$41)),0)</f>
        <v>0</v>
      </c>
      <c r="O79" s="26">
        <f>IF(O$63&gt;=$C79,INDEX($D57:O57,1,MATCH(O$63-$C79+1,$D$41:O$41)),0)</f>
        <v>0</v>
      </c>
      <c r="P79" s="26">
        <f>IF(P$63&gt;=$C79,INDEX($D57:P57,1,MATCH(P$63-$C79+1,$D$41:P$41)),0)</f>
        <v>0</v>
      </c>
      <c r="Q79" s="26">
        <f>IF(Q$63&gt;=$C79,INDEX($D57:Q57,1,MATCH(Q$63-$C79+1,$D$41:Q$41)),0)</f>
        <v>0</v>
      </c>
      <c r="R79" s="26">
        <f>IF(R$63&gt;=$C79,INDEX($D57:R57,1,MATCH(R$63-$C79+1,$D$41:R$41)),0)</f>
        <v>0</v>
      </c>
      <c r="S79" s="26">
        <f>IF(S$63&gt;=$C79,INDEX($D57:S57,1,MATCH(S$63-$C79+1,$D$41:S$41)),0)</f>
        <v>2</v>
      </c>
      <c r="T79" s="26">
        <f>IF(T$63&gt;=$C79,INDEX($D57:T57,1,MATCH(T$63-$C79+1,$D$41:T$41)),0)</f>
        <v>0</v>
      </c>
      <c r="U79" s="26">
        <f>IF(U$63&gt;=$C79,INDEX($D57:U57,1,MATCH(U$63-$C79+1,$D$41:U$41)),0)</f>
        <v>0</v>
      </c>
      <c r="V79" s="26">
        <f>IF(V$63&gt;=$C79,INDEX($D57:V57,1,MATCH(V$63-$C79+1,$D$41:V$41)),0)</f>
        <v>0</v>
      </c>
      <c r="W79" s="26">
        <f>IF(W$63&gt;=$C79,INDEX($D57:W57,1,MATCH(W$63-$C79+1,$D$41:W$41)),0)</f>
        <v>0</v>
      </c>
      <c r="Z79" s="26">
        <v>0</v>
      </c>
      <c r="AA79" s="26">
        <f>IF(AA$63&gt;=$C79,INDEX($Z57:AA57,1,MATCH(AA$63-$C79+1,$Z$41:AA$41)),0)</f>
        <v>0</v>
      </c>
      <c r="AB79" s="26">
        <f>IF(AB$63&gt;=$C79,INDEX($Z57:AB57,1,MATCH(AB$63-$C79+1,$Z$41:AB$41)),0)</f>
        <v>0</v>
      </c>
      <c r="AC79" s="26">
        <f>IF(AC$63&gt;=$C79,INDEX($Z57:AC57,1,MATCH(AC$63-$C79+1,$Z$41:AC$41)),0)</f>
        <v>0</v>
      </c>
      <c r="AD79" s="26">
        <f>IF(AD$63&gt;=$C79,INDEX($Z57:AD57,1,MATCH(AD$63-$C79+1,$Z$41:AD$41)),0)</f>
        <v>0</v>
      </c>
      <c r="AE79" s="26">
        <f>IF(AE$63&gt;=$C79,INDEX($Z57:AE57,1,MATCH(AE$63-$C79+1,$Z$41:AE$41)),0)</f>
        <v>0</v>
      </c>
      <c r="AF79" s="26">
        <f>IF(AF$63&gt;=$C79,INDEX($Z57:AF57,1,MATCH(AF$63-$C79+1,$Z$41:AF$41)),0)</f>
        <v>0</v>
      </c>
      <c r="AG79" s="26">
        <f>IF(AG$63&gt;=$C79,INDEX($Z57:AG57,1,MATCH(AG$63-$C79+1,$Z$41:AG$41)),0)</f>
        <v>4</v>
      </c>
      <c r="AH79" s="26">
        <f>IF(AH$63&gt;=$C79,INDEX($Z57:AH57,1,MATCH(AH$63-$C79+1,$Z$41:AH$41)),0)</f>
        <v>0</v>
      </c>
      <c r="AI79" s="26">
        <f>IF(AI$63&gt;=$C79,INDEX($Z57:AI57,1,MATCH(AI$63-$C79+1,$Z$41:AI$41)),0)</f>
        <v>0</v>
      </c>
      <c r="AJ79" s="26">
        <f>IF(AJ$63&gt;=$C79,INDEX($Z57:AJ57,1,MATCH(AJ$63-$C79+1,$Z$41:AJ$41)),0)</f>
        <v>0</v>
      </c>
      <c r="AK79" s="26">
        <f>IF(AK$63&gt;=$C79,INDEX($Z57:AK57,1,MATCH(AK$63-$C79+1,$Z$41:AK$41)),0)</f>
        <v>0</v>
      </c>
      <c r="AL79" s="26">
        <f>IF(AL$63&gt;=$C79,INDEX($Z57:AL57,1,MATCH(AL$63-$C79+1,$Z$41:AL$41)),0)</f>
        <v>0</v>
      </c>
      <c r="AM79" s="26">
        <f>IF(AM$63&gt;=$C79,INDEX($Z57:AM57,1,MATCH(AM$63-$C79+1,$Z$41:AM$41)),0)</f>
        <v>0</v>
      </c>
      <c r="AN79" s="26">
        <f>IF(AN$63&gt;=$C79,INDEX($Z57:AN57,1,MATCH(AN$63-$C79+1,$Z$41:AN$41)),0)</f>
        <v>0</v>
      </c>
      <c r="AO79" s="26">
        <f>IF(AO$63&gt;=$C79,INDEX($Z57:AO57,1,MATCH(AO$63-$C79+1,$Z$41:AO$41)),0)</f>
        <v>2</v>
      </c>
      <c r="AP79" s="26">
        <f>IF(AP$63&gt;=$C79,INDEX($Z57:AP57,1,MATCH(AP$63-$C79+1,$Z$41:AP$41)),0)</f>
        <v>0</v>
      </c>
      <c r="AQ79" s="26">
        <f>IF(AQ$63&gt;=$C79,INDEX($Z57:AQ57,1,MATCH(AQ$63-$C79+1,$Z$41:AQ$41)),0)</f>
        <v>0</v>
      </c>
      <c r="AR79" s="26">
        <f>IF(AR$63&gt;=$C79,INDEX($Z57:AR57,1,MATCH(AR$63-$C79+1,$Z$41:AR$41)),0)</f>
        <v>0</v>
      </c>
      <c r="AS79" s="26">
        <f>IF(AS$63&gt;=$C79,INDEX($Z57:AS57,1,MATCH(AS$63-$C79+1,$Z$41:AS$41)),0)</f>
        <v>0</v>
      </c>
    </row>
    <row r="80" spans="1:49" x14ac:dyDescent="0.35">
      <c r="A80" s="7" t="str">
        <v>Internet exchange point session border controller - software</v>
      </c>
      <c r="C80" s="9">
        <v>8</v>
      </c>
      <c r="D80" s="73">
        <v>0</v>
      </c>
      <c r="E80" s="26">
        <f>IF(E$63&gt;=$C80,INDEX($D58:E58,1,MATCH(E$63-$C80+1,$D$41:E$41)),0)</f>
        <v>0</v>
      </c>
      <c r="F80" s="26">
        <f>IF(F$63&gt;=$C80,INDEX($D58:F58,1,MATCH(F$63-$C80+1,$D$41:F$41)),0)</f>
        <v>0</v>
      </c>
      <c r="G80" s="26">
        <f>IF(G$63&gt;=$C80,INDEX($D58:G58,1,MATCH(G$63-$C80+1,$D$41:G$41)),0)</f>
        <v>0</v>
      </c>
      <c r="H80" s="26">
        <f>IF(H$63&gt;=$C80,INDEX($D58:H58,1,MATCH(H$63-$C80+1,$D$41:H$41)),0)</f>
        <v>0</v>
      </c>
      <c r="I80" s="26">
        <f>IF(I$63&gt;=$C80,INDEX($D58:I58,1,MATCH(I$63-$C80+1,$D$41:I$41)),0)</f>
        <v>0</v>
      </c>
      <c r="J80" s="26">
        <f>IF(J$63&gt;=$C80,INDEX($D58:J58,1,MATCH(J$63-$C80+1,$D$41:J$41)),0)</f>
        <v>0</v>
      </c>
      <c r="K80" s="26">
        <f>IF(K$63&gt;=$C80,INDEX($D58:K58,1,MATCH(K$63-$C80+1,$D$41:K$41)),0)</f>
        <v>8</v>
      </c>
      <c r="L80" s="26">
        <f>IF(L$63&gt;=$C80,INDEX($D58:L58,1,MATCH(L$63-$C80+1,$D$41:L$41)),0)</f>
        <v>0</v>
      </c>
      <c r="M80" s="26">
        <f>IF(M$63&gt;=$C80,INDEX($D58:M58,1,MATCH(M$63-$C80+1,$D$41:M$41)),0)</f>
        <v>0</v>
      </c>
      <c r="N80" s="26">
        <f>IF(N$63&gt;=$C80,INDEX($D58:N58,1,MATCH(N$63-$C80+1,$D$41:N$41)),0)</f>
        <v>0</v>
      </c>
      <c r="O80" s="26">
        <f>IF(O$63&gt;=$C80,INDEX($D58:O58,1,MATCH(O$63-$C80+1,$D$41:O$41)),0)</f>
        <v>0</v>
      </c>
      <c r="P80" s="26">
        <f>IF(P$63&gt;=$C80,INDEX($D58:P58,1,MATCH(P$63-$C80+1,$D$41:P$41)),0)</f>
        <v>0</v>
      </c>
      <c r="Q80" s="26">
        <f>IF(Q$63&gt;=$C80,INDEX($D58:Q58,1,MATCH(Q$63-$C80+1,$D$41:Q$41)),0)</f>
        <v>0</v>
      </c>
      <c r="R80" s="26">
        <f>IF(R$63&gt;=$C80,INDEX($D58:R58,1,MATCH(R$63-$C80+1,$D$41:R$41)),0)</f>
        <v>0</v>
      </c>
      <c r="S80" s="26">
        <f>IF(S$63&gt;=$C80,INDEX($D58:S58,1,MATCH(S$63-$C80+1,$D$41:S$41)),0)</f>
        <v>4</v>
      </c>
      <c r="T80" s="26">
        <f>IF(T$63&gt;=$C80,INDEX($D58:T58,1,MATCH(T$63-$C80+1,$D$41:T$41)),0)</f>
        <v>0</v>
      </c>
      <c r="U80" s="26">
        <f>IF(U$63&gt;=$C80,INDEX($D58:U58,1,MATCH(U$63-$C80+1,$D$41:U$41)),0)</f>
        <v>0</v>
      </c>
      <c r="V80" s="26">
        <f>IF(V$63&gt;=$C80,INDEX($D58:V58,1,MATCH(V$63-$C80+1,$D$41:V$41)),0)</f>
        <v>0</v>
      </c>
      <c r="W80" s="26">
        <f>IF(W$63&gt;=$C80,INDEX($D58:W58,1,MATCH(W$63-$C80+1,$D$41:W$41)),0)</f>
        <v>0</v>
      </c>
      <c r="X80" s="15"/>
      <c r="Z80" s="26">
        <v>0</v>
      </c>
      <c r="AA80" s="26">
        <f>IF(AA$63&gt;=$C80,INDEX($Z58:AA58,1,MATCH(AA$63-$C80+1,$Z$41:AA$41)),0)</f>
        <v>0</v>
      </c>
      <c r="AB80" s="26">
        <f>IF(AB$63&gt;=$C80,INDEX($Z58:AB58,1,MATCH(AB$63-$C80+1,$Z$41:AB$41)),0)</f>
        <v>0</v>
      </c>
      <c r="AC80" s="26">
        <f>IF(AC$63&gt;=$C80,INDEX($Z58:AC58,1,MATCH(AC$63-$C80+1,$Z$41:AC$41)),0)</f>
        <v>0</v>
      </c>
      <c r="AD80" s="26">
        <f>IF(AD$63&gt;=$C80,INDEX($Z58:AD58,1,MATCH(AD$63-$C80+1,$Z$41:AD$41)),0)</f>
        <v>0</v>
      </c>
      <c r="AE80" s="26">
        <f>IF(AE$63&gt;=$C80,INDEX($Z58:AE58,1,MATCH(AE$63-$C80+1,$Z$41:AE$41)),0)</f>
        <v>0</v>
      </c>
      <c r="AF80" s="26">
        <f>IF(AF$63&gt;=$C80,INDEX($Z58:AF58,1,MATCH(AF$63-$C80+1,$Z$41:AF$41)),0)</f>
        <v>0</v>
      </c>
      <c r="AG80" s="26">
        <f>IF(AG$63&gt;=$C80,INDEX($Z58:AG58,1,MATCH(AG$63-$C80+1,$Z$41:AG$41)),0)</f>
        <v>6</v>
      </c>
      <c r="AH80" s="26">
        <f>IF(AH$63&gt;=$C80,INDEX($Z58:AH58,1,MATCH(AH$63-$C80+1,$Z$41:AH$41)),0)</f>
        <v>0</v>
      </c>
      <c r="AI80" s="26">
        <f>IF(AI$63&gt;=$C80,INDEX($Z58:AI58,1,MATCH(AI$63-$C80+1,$Z$41:AI$41)),0)</f>
        <v>0</v>
      </c>
      <c r="AJ80" s="26">
        <f>IF(AJ$63&gt;=$C80,INDEX($Z58:AJ58,1,MATCH(AJ$63-$C80+1,$Z$41:AJ$41)),0)</f>
        <v>0</v>
      </c>
      <c r="AK80" s="26">
        <f>IF(AK$63&gt;=$C80,INDEX($Z58:AK58,1,MATCH(AK$63-$C80+1,$Z$41:AK$41)),0)</f>
        <v>0</v>
      </c>
      <c r="AL80" s="26">
        <f>IF(AL$63&gt;=$C80,INDEX($Z58:AL58,1,MATCH(AL$63-$C80+1,$Z$41:AL$41)),0)</f>
        <v>0</v>
      </c>
      <c r="AM80" s="26">
        <f>IF(AM$63&gt;=$C80,INDEX($Z58:AM58,1,MATCH(AM$63-$C80+1,$Z$41:AM$41)),0)</f>
        <v>0</v>
      </c>
      <c r="AN80" s="26">
        <f>IF(AN$63&gt;=$C80,INDEX($Z58:AN58,1,MATCH(AN$63-$C80+1,$Z$41:AN$41)),0)</f>
        <v>0</v>
      </c>
      <c r="AO80" s="26">
        <f>IF(AO$63&gt;=$C80,INDEX($Z58:AO58,1,MATCH(AO$63-$C80+1,$Z$41:AO$41)),0)</f>
        <v>4</v>
      </c>
      <c r="AP80" s="26">
        <f>IF(AP$63&gt;=$C80,INDEX($Z58:AP58,1,MATCH(AP$63-$C80+1,$Z$41:AP$41)),0)</f>
        <v>0</v>
      </c>
      <c r="AQ80" s="26">
        <f>IF(AQ$63&gt;=$C80,INDEX($Z58:AQ58,1,MATCH(AQ$63-$C80+1,$Z$41:AQ$41)),0)</f>
        <v>0</v>
      </c>
      <c r="AR80" s="26">
        <f>IF(AR$63&gt;=$C80,INDEX($Z58:AR58,1,MATCH(AR$63-$C80+1,$Z$41:AR$41)),0)</f>
        <v>0</v>
      </c>
      <c r="AS80" s="26">
        <f>IF(AS$63&gt;=$C80,INDEX($Z58:AS58,1,MATCH(AS$63-$C80+1,$Z$41:AS$41)),0)</f>
        <v>0</v>
      </c>
      <c r="AT80" s="15"/>
      <c r="AW80" s="114"/>
    </row>
    <row r="82" spans="1:45" x14ac:dyDescent="0.35">
      <c r="A82" s="29" t="s">
        <v>364</v>
      </c>
    </row>
    <row r="83" spans="1:45" x14ac:dyDescent="0.35">
      <c r="A83" s="21"/>
    </row>
    <row r="84" spans="1:45" x14ac:dyDescent="0.35">
      <c r="A84" s="12" t="s">
        <v>369</v>
      </c>
    </row>
    <row r="85" spans="1:45" x14ac:dyDescent="0.35">
      <c r="A85"/>
    </row>
    <row r="86" spans="1:45" ht="29" x14ac:dyDescent="0.35">
      <c r="A86" s="129"/>
      <c r="C86" s="56" t="s">
        <v>152</v>
      </c>
      <c r="D86" s="52" cm="1">
        <f t="array" ref="D86:W86">years</f>
        <v>2018</v>
      </c>
      <c r="E86" s="52">
        <v>2019</v>
      </c>
      <c r="F86" s="52">
        <v>2020</v>
      </c>
      <c r="G86" s="52">
        <v>2021</v>
      </c>
      <c r="H86" s="52">
        <v>2022</v>
      </c>
      <c r="I86" s="52">
        <v>2023</v>
      </c>
      <c r="J86" s="52">
        <v>2024</v>
      </c>
      <c r="K86" s="52">
        <v>2025</v>
      </c>
      <c r="L86" s="52">
        <v>2026</v>
      </c>
      <c r="M86" s="52">
        <v>2027</v>
      </c>
      <c r="N86" s="52">
        <v>2028</v>
      </c>
      <c r="O86" s="52">
        <v>2029</v>
      </c>
      <c r="P86" s="52">
        <v>2030</v>
      </c>
      <c r="Q86" s="52">
        <v>2031</v>
      </c>
      <c r="R86" s="52">
        <v>2032</v>
      </c>
      <c r="S86" s="52">
        <v>2033</v>
      </c>
      <c r="T86" s="52">
        <v>2034</v>
      </c>
      <c r="U86" s="52">
        <v>2035</v>
      </c>
      <c r="V86" s="52">
        <v>2036</v>
      </c>
      <c r="W86" s="52">
        <v>2037</v>
      </c>
      <c r="Z86" s="229" cm="1">
        <f t="array" ref="Z86:AS86">years</f>
        <v>2018</v>
      </c>
      <c r="AA86" s="53">
        <v>2019</v>
      </c>
      <c r="AB86" s="52">
        <v>2020</v>
      </c>
      <c r="AC86" s="52">
        <v>2021</v>
      </c>
      <c r="AD86" s="52">
        <v>2022</v>
      </c>
      <c r="AE86" s="52">
        <v>2023</v>
      </c>
      <c r="AF86" s="52">
        <v>2024</v>
      </c>
      <c r="AG86" s="52">
        <v>2025</v>
      </c>
      <c r="AH86" s="52">
        <v>2026</v>
      </c>
      <c r="AI86" s="52">
        <v>2027</v>
      </c>
      <c r="AJ86" s="52">
        <v>2028</v>
      </c>
      <c r="AK86" s="52">
        <v>2029</v>
      </c>
      <c r="AL86" s="52">
        <v>2030</v>
      </c>
      <c r="AM86" s="52">
        <v>2031</v>
      </c>
      <c r="AN86" s="52">
        <v>2032</v>
      </c>
      <c r="AO86" s="52">
        <v>2033</v>
      </c>
      <c r="AP86" s="52">
        <v>2034</v>
      </c>
      <c r="AQ86" s="52">
        <v>2035</v>
      </c>
      <c r="AR86" s="52">
        <v>2036</v>
      </c>
      <c r="AS86" s="52">
        <v>2037</v>
      </c>
    </row>
    <row r="87" spans="1:45" x14ac:dyDescent="0.35">
      <c r="A87" s="7" t="str" cm="1">
        <f t="array" ref="A87:A102">core_elements</f>
        <v>Application server hardware</v>
      </c>
      <c r="C87" s="9">
        <v>8</v>
      </c>
      <c r="D87" s="26">
        <f>D43</f>
        <v>2</v>
      </c>
      <c r="E87" s="26">
        <f t="shared" ref="E87:W87" si="55">D87+E43-E65</f>
        <v>2</v>
      </c>
      <c r="F87" s="26">
        <f t="shared" si="55"/>
        <v>2</v>
      </c>
      <c r="G87" s="26">
        <f t="shared" si="55"/>
        <v>2</v>
      </c>
      <c r="H87" s="26">
        <f t="shared" si="55"/>
        <v>2</v>
      </c>
      <c r="I87" s="26">
        <f t="shared" si="55"/>
        <v>2</v>
      </c>
      <c r="J87" s="26">
        <f t="shared" si="55"/>
        <v>2</v>
      </c>
      <c r="K87" s="26">
        <f t="shared" si="55"/>
        <v>0</v>
      </c>
      <c r="L87" s="26">
        <f t="shared" si="55"/>
        <v>2</v>
      </c>
      <c r="M87" s="26">
        <f t="shared" si="55"/>
        <v>2</v>
      </c>
      <c r="N87" s="26">
        <f t="shared" si="55"/>
        <v>2</v>
      </c>
      <c r="O87" s="26">
        <f t="shared" si="55"/>
        <v>2</v>
      </c>
      <c r="P87" s="26">
        <f t="shared" si="55"/>
        <v>2</v>
      </c>
      <c r="Q87" s="26">
        <f t="shared" si="55"/>
        <v>2</v>
      </c>
      <c r="R87" s="26">
        <f t="shared" si="55"/>
        <v>2</v>
      </c>
      <c r="S87" s="26">
        <f t="shared" si="55"/>
        <v>0</v>
      </c>
      <c r="T87" s="26">
        <f t="shared" si="55"/>
        <v>2</v>
      </c>
      <c r="U87" s="26">
        <f t="shared" si="55"/>
        <v>2</v>
      </c>
      <c r="V87" s="26">
        <f t="shared" si="55"/>
        <v>2</v>
      </c>
      <c r="W87" s="26">
        <f t="shared" si="55"/>
        <v>2</v>
      </c>
      <c r="Z87" s="26">
        <f>Z43</f>
        <v>2</v>
      </c>
      <c r="AA87" s="26">
        <f t="shared" ref="AA87:AS87" si="56">Z87+AA43-AA65</f>
        <v>2</v>
      </c>
      <c r="AB87" s="26">
        <f t="shared" si="56"/>
        <v>2</v>
      </c>
      <c r="AC87" s="26">
        <f t="shared" si="56"/>
        <v>2</v>
      </c>
      <c r="AD87" s="26">
        <f t="shared" si="56"/>
        <v>2</v>
      </c>
      <c r="AE87" s="26">
        <f t="shared" si="56"/>
        <v>2</v>
      </c>
      <c r="AF87" s="26">
        <f t="shared" si="56"/>
        <v>2</v>
      </c>
      <c r="AG87" s="26">
        <f t="shared" si="56"/>
        <v>0</v>
      </c>
      <c r="AH87" s="26">
        <f t="shared" si="56"/>
        <v>2</v>
      </c>
      <c r="AI87" s="26">
        <f t="shared" si="56"/>
        <v>2</v>
      </c>
      <c r="AJ87" s="26">
        <f t="shared" si="56"/>
        <v>2</v>
      </c>
      <c r="AK87" s="26">
        <f t="shared" si="56"/>
        <v>2</v>
      </c>
      <c r="AL87" s="26">
        <f t="shared" si="56"/>
        <v>2</v>
      </c>
      <c r="AM87" s="26">
        <f t="shared" si="56"/>
        <v>2</v>
      </c>
      <c r="AN87" s="26">
        <f t="shared" si="56"/>
        <v>2</v>
      </c>
      <c r="AO87" s="26">
        <f t="shared" si="56"/>
        <v>0</v>
      </c>
      <c r="AP87" s="26">
        <f t="shared" si="56"/>
        <v>2</v>
      </c>
      <c r="AQ87" s="26">
        <f t="shared" si="56"/>
        <v>2</v>
      </c>
      <c r="AR87" s="26">
        <f t="shared" si="56"/>
        <v>2</v>
      </c>
      <c r="AS87" s="26">
        <f t="shared" si="56"/>
        <v>2</v>
      </c>
    </row>
    <row r="88" spans="1:45" x14ac:dyDescent="0.35">
      <c r="A88" s="7" t="str">
        <v>Application server software</v>
      </c>
      <c r="C88" s="9">
        <v>8</v>
      </c>
      <c r="D88" s="26">
        <f t="shared" ref="D88:D102" si="57">D44</f>
        <v>2</v>
      </c>
      <c r="E88" s="26">
        <f t="shared" ref="E88:W88" si="58">D88+E44-E66</f>
        <v>2</v>
      </c>
      <c r="F88" s="26">
        <f t="shared" si="58"/>
        <v>2</v>
      </c>
      <c r="G88" s="26">
        <f t="shared" si="58"/>
        <v>2</v>
      </c>
      <c r="H88" s="26">
        <f t="shared" si="58"/>
        <v>2</v>
      </c>
      <c r="I88" s="26">
        <f t="shared" si="58"/>
        <v>2</v>
      </c>
      <c r="J88" s="26">
        <f t="shared" si="58"/>
        <v>2</v>
      </c>
      <c r="K88" s="26">
        <f t="shared" si="58"/>
        <v>0</v>
      </c>
      <c r="L88" s="26">
        <f t="shared" si="58"/>
        <v>2</v>
      </c>
      <c r="M88" s="26">
        <f t="shared" si="58"/>
        <v>2</v>
      </c>
      <c r="N88" s="26">
        <f t="shared" si="58"/>
        <v>2</v>
      </c>
      <c r="O88" s="26">
        <f t="shared" si="58"/>
        <v>2</v>
      </c>
      <c r="P88" s="26">
        <f t="shared" si="58"/>
        <v>2</v>
      </c>
      <c r="Q88" s="26">
        <f t="shared" si="58"/>
        <v>2</v>
      </c>
      <c r="R88" s="26">
        <f t="shared" si="58"/>
        <v>2</v>
      </c>
      <c r="S88" s="26">
        <f t="shared" si="58"/>
        <v>0</v>
      </c>
      <c r="T88" s="26">
        <f t="shared" si="58"/>
        <v>2</v>
      </c>
      <c r="U88" s="26">
        <f t="shared" si="58"/>
        <v>2</v>
      </c>
      <c r="V88" s="26">
        <f t="shared" si="58"/>
        <v>2</v>
      </c>
      <c r="W88" s="26">
        <f t="shared" si="58"/>
        <v>2</v>
      </c>
      <c r="Z88" s="26">
        <f t="shared" ref="Z88:Z102" si="59">Z44</f>
        <v>2</v>
      </c>
      <c r="AA88" s="26">
        <f t="shared" ref="AA88:AS88" si="60">Z88+AA44-AA66</f>
        <v>2</v>
      </c>
      <c r="AB88" s="26">
        <f t="shared" si="60"/>
        <v>2</v>
      </c>
      <c r="AC88" s="26">
        <f t="shared" si="60"/>
        <v>2</v>
      </c>
      <c r="AD88" s="26">
        <f t="shared" si="60"/>
        <v>2</v>
      </c>
      <c r="AE88" s="26">
        <f t="shared" si="60"/>
        <v>2</v>
      </c>
      <c r="AF88" s="26">
        <f t="shared" si="60"/>
        <v>2</v>
      </c>
      <c r="AG88" s="26">
        <f t="shared" si="60"/>
        <v>0</v>
      </c>
      <c r="AH88" s="26">
        <f t="shared" si="60"/>
        <v>2</v>
      </c>
      <c r="AI88" s="26">
        <f t="shared" si="60"/>
        <v>2</v>
      </c>
      <c r="AJ88" s="26">
        <f t="shared" si="60"/>
        <v>2</v>
      </c>
      <c r="AK88" s="26">
        <f t="shared" si="60"/>
        <v>2</v>
      </c>
      <c r="AL88" s="26">
        <f t="shared" si="60"/>
        <v>2</v>
      </c>
      <c r="AM88" s="26">
        <f t="shared" si="60"/>
        <v>2</v>
      </c>
      <c r="AN88" s="26">
        <f t="shared" si="60"/>
        <v>2</v>
      </c>
      <c r="AO88" s="26">
        <f t="shared" si="60"/>
        <v>0</v>
      </c>
      <c r="AP88" s="26">
        <f t="shared" si="60"/>
        <v>2</v>
      </c>
      <c r="AQ88" s="26">
        <f t="shared" si="60"/>
        <v>2</v>
      </c>
      <c r="AR88" s="26">
        <f t="shared" si="60"/>
        <v>2</v>
      </c>
      <c r="AS88" s="26">
        <f t="shared" si="60"/>
        <v>2</v>
      </c>
    </row>
    <row r="89" spans="1:45" x14ac:dyDescent="0.35">
      <c r="A89" s="7" t="str">
        <v>Charging data function hardware</v>
      </c>
      <c r="C89" s="9">
        <v>8</v>
      </c>
      <c r="D89" s="26">
        <f t="shared" si="57"/>
        <v>2</v>
      </c>
      <c r="E89" s="26">
        <f t="shared" ref="E89:W89" si="61">D89+E45-E67</f>
        <v>2</v>
      </c>
      <c r="F89" s="26">
        <f t="shared" si="61"/>
        <v>2</v>
      </c>
      <c r="G89" s="26">
        <f t="shared" si="61"/>
        <v>2</v>
      </c>
      <c r="H89" s="26">
        <f t="shared" si="61"/>
        <v>2</v>
      </c>
      <c r="I89" s="26">
        <f t="shared" si="61"/>
        <v>2</v>
      </c>
      <c r="J89" s="26">
        <f t="shared" si="61"/>
        <v>2</v>
      </c>
      <c r="K89" s="26">
        <f t="shared" si="61"/>
        <v>0</v>
      </c>
      <c r="L89" s="26">
        <f t="shared" si="61"/>
        <v>2</v>
      </c>
      <c r="M89" s="26">
        <f t="shared" si="61"/>
        <v>2</v>
      </c>
      <c r="N89" s="26">
        <f t="shared" si="61"/>
        <v>2</v>
      </c>
      <c r="O89" s="26">
        <f t="shared" si="61"/>
        <v>2</v>
      </c>
      <c r="P89" s="26">
        <f t="shared" si="61"/>
        <v>2</v>
      </c>
      <c r="Q89" s="26">
        <f t="shared" si="61"/>
        <v>2</v>
      </c>
      <c r="R89" s="26">
        <f t="shared" si="61"/>
        <v>2</v>
      </c>
      <c r="S89" s="26">
        <f t="shared" si="61"/>
        <v>0</v>
      </c>
      <c r="T89" s="26">
        <f t="shared" si="61"/>
        <v>2</v>
      </c>
      <c r="U89" s="26">
        <f t="shared" si="61"/>
        <v>2</v>
      </c>
      <c r="V89" s="26">
        <f t="shared" si="61"/>
        <v>2</v>
      </c>
      <c r="W89" s="26">
        <f t="shared" si="61"/>
        <v>2</v>
      </c>
      <c r="Z89" s="26">
        <f t="shared" si="59"/>
        <v>2</v>
      </c>
      <c r="AA89" s="26">
        <f t="shared" ref="AA89:AS89" si="62">Z89+AA45-AA67</f>
        <v>2</v>
      </c>
      <c r="AB89" s="26">
        <f t="shared" si="62"/>
        <v>2</v>
      </c>
      <c r="AC89" s="26">
        <f t="shared" si="62"/>
        <v>2</v>
      </c>
      <c r="AD89" s="26">
        <f t="shared" si="62"/>
        <v>2</v>
      </c>
      <c r="AE89" s="26">
        <f t="shared" si="62"/>
        <v>2</v>
      </c>
      <c r="AF89" s="26">
        <f t="shared" si="62"/>
        <v>2</v>
      </c>
      <c r="AG89" s="26">
        <f t="shared" si="62"/>
        <v>0</v>
      </c>
      <c r="AH89" s="26">
        <f t="shared" si="62"/>
        <v>2</v>
      </c>
      <c r="AI89" s="26">
        <f t="shared" si="62"/>
        <v>2</v>
      </c>
      <c r="AJ89" s="26">
        <f t="shared" si="62"/>
        <v>2</v>
      </c>
      <c r="AK89" s="26">
        <f t="shared" si="62"/>
        <v>2</v>
      </c>
      <c r="AL89" s="26">
        <f t="shared" si="62"/>
        <v>2</v>
      </c>
      <c r="AM89" s="26">
        <f t="shared" si="62"/>
        <v>2</v>
      </c>
      <c r="AN89" s="26">
        <f t="shared" si="62"/>
        <v>2</v>
      </c>
      <c r="AO89" s="26">
        <f t="shared" si="62"/>
        <v>0</v>
      </c>
      <c r="AP89" s="26">
        <f t="shared" si="62"/>
        <v>2</v>
      </c>
      <c r="AQ89" s="26">
        <f t="shared" si="62"/>
        <v>2</v>
      </c>
      <c r="AR89" s="26">
        <f t="shared" si="62"/>
        <v>2</v>
      </c>
      <c r="AS89" s="26">
        <f t="shared" si="62"/>
        <v>2</v>
      </c>
    </row>
    <row r="90" spans="1:45" x14ac:dyDescent="0.35">
      <c r="A90" s="7" t="str">
        <v>Charging data function software</v>
      </c>
      <c r="C90" s="9">
        <v>8</v>
      </c>
      <c r="D90" s="26">
        <f t="shared" si="57"/>
        <v>168</v>
      </c>
      <c r="E90" s="26">
        <f t="shared" ref="E90:W90" si="63">D90+E46-E68</f>
        <v>168</v>
      </c>
      <c r="F90" s="26">
        <f t="shared" si="63"/>
        <v>168</v>
      </c>
      <c r="G90" s="26">
        <f t="shared" si="63"/>
        <v>168</v>
      </c>
      <c r="H90" s="26">
        <f t="shared" si="63"/>
        <v>168</v>
      </c>
      <c r="I90" s="26">
        <f t="shared" si="63"/>
        <v>168</v>
      </c>
      <c r="J90" s="26">
        <f t="shared" si="63"/>
        <v>168</v>
      </c>
      <c r="K90" s="26">
        <f t="shared" si="63"/>
        <v>0</v>
      </c>
      <c r="L90" s="26">
        <f t="shared" si="63"/>
        <v>74</v>
      </c>
      <c r="M90" s="26">
        <f t="shared" si="63"/>
        <v>74</v>
      </c>
      <c r="N90" s="26">
        <f t="shared" si="63"/>
        <v>74</v>
      </c>
      <c r="O90" s="26">
        <f t="shared" si="63"/>
        <v>74</v>
      </c>
      <c r="P90" s="26">
        <f t="shared" si="63"/>
        <v>74</v>
      </c>
      <c r="Q90" s="26">
        <f t="shared" si="63"/>
        <v>74</v>
      </c>
      <c r="R90" s="26">
        <f t="shared" si="63"/>
        <v>74</v>
      </c>
      <c r="S90" s="26">
        <f t="shared" si="63"/>
        <v>0</v>
      </c>
      <c r="T90" s="26">
        <f t="shared" si="63"/>
        <v>34</v>
      </c>
      <c r="U90" s="26">
        <f t="shared" si="63"/>
        <v>34</v>
      </c>
      <c r="V90" s="26">
        <f t="shared" si="63"/>
        <v>34</v>
      </c>
      <c r="W90" s="26">
        <f t="shared" si="63"/>
        <v>34</v>
      </c>
      <c r="Z90" s="26">
        <f t="shared" si="59"/>
        <v>124</v>
      </c>
      <c r="AA90" s="26">
        <f t="shared" ref="AA90:AS90" si="64">Z90+AA46-AA68</f>
        <v>124</v>
      </c>
      <c r="AB90" s="26">
        <f t="shared" si="64"/>
        <v>124</v>
      </c>
      <c r="AC90" s="26">
        <f t="shared" si="64"/>
        <v>124</v>
      </c>
      <c r="AD90" s="26">
        <f t="shared" si="64"/>
        <v>124</v>
      </c>
      <c r="AE90" s="26">
        <f t="shared" si="64"/>
        <v>124</v>
      </c>
      <c r="AF90" s="26">
        <f t="shared" si="64"/>
        <v>124</v>
      </c>
      <c r="AG90" s="26">
        <f t="shared" si="64"/>
        <v>0</v>
      </c>
      <c r="AH90" s="26">
        <f t="shared" si="64"/>
        <v>52</v>
      </c>
      <c r="AI90" s="26">
        <f t="shared" si="64"/>
        <v>52</v>
      </c>
      <c r="AJ90" s="26">
        <f t="shared" si="64"/>
        <v>52</v>
      </c>
      <c r="AK90" s="26">
        <f t="shared" si="64"/>
        <v>52</v>
      </c>
      <c r="AL90" s="26">
        <f t="shared" si="64"/>
        <v>52</v>
      </c>
      <c r="AM90" s="26">
        <f t="shared" si="64"/>
        <v>52</v>
      </c>
      <c r="AN90" s="26">
        <f t="shared" si="64"/>
        <v>52</v>
      </c>
      <c r="AO90" s="26">
        <f t="shared" si="64"/>
        <v>0</v>
      </c>
      <c r="AP90" s="26">
        <f t="shared" si="64"/>
        <v>24</v>
      </c>
      <c r="AQ90" s="26">
        <f t="shared" si="64"/>
        <v>24</v>
      </c>
      <c r="AR90" s="26">
        <f t="shared" si="64"/>
        <v>24</v>
      </c>
      <c r="AS90" s="26">
        <f t="shared" si="64"/>
        <v>24</v>
      </c>
    </row>
    <row r="91" spans="1:45" x14ac:dyDescent="0.35">
      <c r="A91" s="7" t="str">
        <v>Proxy - Call session control function hardware</v>
      </c>
      <c r="C91" s="9">
        <v>8</v>
      </c>
      <c r="D91" s="26">
        <f t="shared" si="57"/>
        <v>2</v>
      </c>
      <c r="E91" s="26">
        <f t="shared" ref="E91:W91" si="65">D91+E47-E69</f>
        <v>2</v>
      </c>
      <c r="F91" s="26">
        <f t="shared" si="65"/>
        <v>2</v>
      </c>
      <c r="G91" s="26">
        <f t="shared" si="65"/>
        <v>2</v>
      </c>
      <c r="H91" s="26">
        <f t="shared" si="65"/>
        <v>2</v>
      </c>
      <c r="I91" s="26">
        <f t="shared" si="65"/>
        <v>2</v>
      </c>
      <c r="J91" s="26">
        <f t="shared" si="65"/>
        <v>2</v>
      </c>
      <c r="K91" s="26">
        <f t="shared" si="65"/>
        <v>0</v>
      </c>
      <c r="L91" s="26">
        <f t="shared" si="65"/>
        <v>2</v>
      </c>
      <c r="M91" s="26">
        <f t="shared" si="65"/>
        <v>2</v>
      </c>
      <c r="N91" s="26">
        <f t="shared" si="65"/>
        <v>2</v>
      </c>
      <c r="O91" s="26">
        <f t="shared" si="65"/>
        <v>2</v>
      </c>
      <c r="P91" s="26">
        <f t="shared" si="65"/>
        <v>2</v>
      </c>
      <c r="Q91" s="26">
        <f t="shared" si="65"/>
        <v>2</v>
      </c>
      <c r="R91" s="26">
        <f t="shared" si="65"/>
        <v>2</v>
      </c>
      <c r="S91" s="26">
        <f t="shared" si="65"/>
        <v>0</v>
      </c>
      <c r="T91" s="26">
        <f t="shared" si="65"/>
        <v>2</v>
      </c>
      <c r="U91" s="26">
        <f t="shared" si="65"/>
        <v>2</v>
      </c>
      <c r="V91" s="26">
        <f t="shared" si="65"/>
        <v>2</v>
      </c>
      <c r="W91" s="26">
        <f t="shared" si="65"/>
        <v>2</v>
      </c>
      <c r="Z91" s="26">
        <f t="shared" si="59"/>
        <v>2</v>
      </c>
      <c r="AA91" s="26">
        <f t="shared" ref="AA91:AS91" si="66">Z91+AA47-AA69</f>
        <v>2</v>
      </c>
      <c r="AB91" s="26">
        <f t="shared" si="66"/>
        <v>2</v>
      </c>
      <c r="AC91" s="26">
        <f t="shared" si="66"/>
        <v>2</v>
      </c>
      <c r="AD91" s="26">
        <f t="shared" si="66"/>
        <v>2</v>
      </c>
      <c r="AE91" s="26">
        <f t="shared" si="66"/>
        <v>2</v>
      </c>
      <c r="AF91" s="26">
        <f t="shared" si="66"/>
        <v>2</v>
      </c>
      <c r="AG91" s="26">
        <f t="shared" si="66"/>
        <v>0</v>
      </c>
      <c r="AH91" s="26">
        <f t="shared" si="66"/>
        <v>2</v>
      </c>
      <c r="AI91" s="26">
        <f t="shared" si="66"/>
        <v>2</v>
      </c>
      <c r="AJ91" s="26">
        <f t="shared" si="66"/>
        <v>2</v>
      </c>
      <c r="AK91" s="26">
        <f t="shared" si="66"/>
        <v>2</v>
      </c>
      <c r="AL91" s="26">
        <f t="shared" si="66"/>
        <v>2</v>
      </c>
      <c r="AM91" s="26">
        <f t="shared" si="66"/>
        <v>2</v>
      </c>
      <c r="AN91" s="26">
        <f t="shared" si="66"/>
        <v>2</v>
      </c>
      <c r="AO91" s="26">
        <f t="shared" si="66"/>
        <v>0</v>
      </c>
      <c r="AP91" s="26">
        <f t="shared" si="66"/>
        <v>2</v>
      </c>
      <c r="AQ91" s="26">
        <f t="shared" si="66"/>
        <v>2</v>
      </c>
      <c r="AR91" s="26">
        <f t="shared" si="66"/>
        <v>2</v>
      </c>
      <c r="AS91" s="26">
        <f t="shared" si="66"/>
        <v>2</v>
      </c>
    </row>
    <row r="92" spans="1:45" x14ac:dyDescent="0.35">
      <c r="A92" s="7" t="str">
        <v>Proxy - Call session control function software</v>
      </c>
      <c r="C92" s="9">
        <v>8</v>
      </c>
      <c r="D92" s="26">
        <f t="shared" si="57"/>
        <v>1714</v>
      </c>
      <c r="E92" s="26">
        <f t="shared" ref="E92:W92" si="67">D92+E48-E70</f>
        <v>1714</v>
      </c>
      <c r="F92" s="26">
        <f t="shared" si="67"/>
        <v>1714</v>
      </c>
      <c r="G92" s="26">
        <f t="shared" si="67"/>
        <v>1714</v>
      </c>
      <c r="H92" s="26">
        <f t="shared" si="67"/>
        <v>1714</v>
      </c>
      <c r="I92" s="26">
        <f t="shared" si="67"/>
        <v>1714</v>
      </c>
      <c r="J92" s="26">
        <f t="shared" si="67"/>
        <v>1714</v>
      </c>
      <c r="K92" s="26">
        <f t="shared" si="67"/>
        <v>0</v>
      </c>
      <c r="L92" s="26">
        <f t="shared" si="67"/>
        <v>758</v>
      </c>
      <c r="M92" s="26">
        <f t="shared" si="67"/>
        <v>758</v>
      </c>
      <c r="N92" s="26">
        <f t="shared" si="67"/>
        <v>758</v>
      </c>
      <c r="O92" s="26">
        <f t="shared" si="67"/>
        <v>758</v>
      </c>
      <c r="P92" s="26">
        <f t="shared" si="67"/>
        <v>758</v>
      </c>
      <c r="Q92" s="26">
        <f t="shared" si="67"/>
        <v>758</v>
      </c>
      <c r="R92" s="26">
        <f t="shared" si="67"/>
        <v>758</v>
      </c>
      <c r="S92" s="26">
        <f t="shared" si="67"/>
        <v>0</v>
      </c>
      <c r="T92" s="26">
        <f t="shared" si="67"/>
        <v>340</v>
      </c>
      <c r="U92" s="26">
        <f t="shared" si="67"/>
        <v>340</v>
      </c>
      <c r="V92" s="26">
        <f t="shared" si="67"/>
        <v>340</v>
      </c>
      <c r="W92" s="26">
        <f t="shared" si="67"/>
        <v>340</v>
      </c>
      <c r="Z92" s="26">
        <f t="shared" si="59"/>
        <v>1266</v>
      </c>
      <c r="AA92" s="26">
        <f t="shared" ref="AA92:AS92" si="68">Z92+AA48-AA70</f>
        <v>1266</v>
      </c>
      <c r="AB92" s="26">
        <f t="shared" si="68"/>
        <v>1266</v>
      </c>
      <c r="AC92" s="26">
        <f t="shared" si="68"/>
        <v>1266</v>
      </c>
      <c r="AD92" s="26">
        <f t="shared" si="68"/>
        <v>1266</v>
      </c>
      <c r="AE92" s="26">
        <f t="shared" si="68"/>
        <v>1266</v>
      </c>
      <c r="AF92" s="26">
        <f t="shared" si="68"/>
        <v>1266</v>
      </c>
      <c r="AG92" s="26">
        <f t="shared" si="68"/>
        <v>0</v>
      </c>
      <c r="AH92" s="26">
        <f t="shared" si="68"/>
        <v>528</v>
      </c>
      <c r="AI92" s="26">
        <f t="shared" si="68"/>
        <v>528</v>
      </c>
      <c r="AJ92" s="26">
        <f t="shared" si="68"/>
        <v>528</v>
      </c>
      <c r="AK92" s="26">
        <f t="shared" si="68"/>
        <v>528</v>
      </c>
      <c r="AL92" s="26">
        <f t="shared" si="68"/>
        <v>528</v>
      </c>
      <c r="AM92" s="26">
        <f t="shared" si="68"/>
        <v>528</v>
      </c>
      <c r="AN92" s="26">
        <f t="shared" si="68"/>
        <v>528</v>
      </c>
      <c r="AO92" s="26">
        <f t="shared" si="68"/>
        <v>0</v>
      </c>
      <c r="AP92" s="26">
        <f t="shared" si="68"/>
        <v>236</v>
      </c>
      <c r="AQ92" s="26">
        <f t="shared" si="68"/>
        <v>236</v>
      </c>
      <c r="AR92" s="26">
        <f t="shared" si="68"/>
        <v>236</v>
      </c>
      <c r="AS92" s="26">
        <f t="shared" si="68"/>
        <v>236</v>
      </c>
    </row>
    <row r="93" spans="1:45" x14ac:dyDescent="0.35">
      <c r="A93" s="7" t="str">
        <v>Interrogating - Call session control function hardware</v>
      </c>
      <c r="C93" s="9">
        <v>8</v>
      </c>
      <c r="D93" s="26">
        <f t="shared" si="57"/>
        <v>2</v>
      </c>
      <c r="E93" s="26">
        <f t="shared" ref="E93:W93" si="69">D93+E49-E71</f>
        <v>2</v>
      </c>
      <c r="F93" s="26">
        <f t="shared" si="69"/>
        <v>2</v>
      </c>
      <c r="G93" s="26">
        <f t="shared" si="69"/>
        <v>2</v>
      </c>
      <c r="H93" s="26">
        <f t="shared" si="69"/>
        <v>2</v>
      </c>
      <c r="I93" s="26">
        <f t="shared" si="69"/>
        <v>2</v>
      </c>
      <c r="J93" s="26">
        <f t="shared" si="69"/>
        <v>2</v>
      </c>
      <c r="K93" s="26">
        <f t="shared" si="69"/>
        <v>0</v>
      </c>
      <c r="L93" s="26">
        <f t="shared" si="69"/>
        <v>2</v>
      </c>
      <c r="M93" s="26">
        <f t="shared" si="69"/>
        <v>2</v>
      </c>
      <c r="N93" s="26">
        <f t="shared" si="69"/>
        <v>2</v>
      </c>
      <c r="O93" s="26">
        <f t="shared" si="69"/>
        <v>2</v>
      </c>
      <c r="P93" s="26">
        <f t="shared" si="69"/>
        <v>2</v>
      </c>
      <c r="Q93" s="26">
        <f t="shared" si="69"/>
        <v>2</v>
      </c>
      <c r="R93" s="26">
        <f t="shared" si="69"/>
        <v>2</v>
      </c>
      <c r="S93" s="26">
        <f t="shared" si="69"/>
        <v>0</v>
      </c>
      <c r="T93" s="26">
        <f t="shared" si="69"/>
        <v>2</v>
      </c>
      <c r="U93" s="26">
        <f t="shared" si="69"/>
        <v>2</v>
      </c>
      <c r="V93" s="26">
        <f t="shared" si="69"/>
        <v>2</v>
      </c>
      <c r="W93" s="26">
        <f t="shared" si="69"/>
        <v>2</v>
      </c>
      <c r="Z93" s="26">
        <f t="shared" si="59"/>
        <v>2</v>
      </c>
      <c r="AA93" s="26">
        <f t="shared" ref="AA93:AS93" si="70">Z93+AA49-AA71</f>
        <v>2</v>
      </c>
      <c r="AB93" s="26">
        <f t="shared" si="70"/>
        <v>2</v>
      </c>
      <c r="AC93" s="26">
        <f t="shared" si="70"/>
        <v>2</v>
      </c>
      <c r="AD93" s="26">
        <f t="shared" si="70"/>
        <v>2</v>
      </c>
      <c r="AE93" s="26">
        <f t="shared" si="70"/>
        <v>2</v>
      </c>
      <c r="AF93" s="26">
        <f t="shared" si="70"/>
        <v>2</v>
      </c>
      <c r="AG93" s="26">
        <f t="shared" si="70"/>
        <v>0</v>
      </c>
      <c r="AH93" s="26">
        <f t="shared" si="70"/>
        <v>2</v>
      </c>
      <c r="AI93" s="26">
        <f t="shared" si="70"/>
        <v>2</v>
      </c>
      <c r="AJ93" s="26">
        <f t="shared" si="70"/>
        <v>2</v>
      </c>
      <c r="AK93" s="26">
        <f t="shared" si="70"/>
        <v>2</v>
      </c>
      <c r="AL93" s="26">
        <f t="shared" si="70"/>
        <v>2</v>
      </c>
      <c r="AM93" s="26">
        <f t="shared" si="70"/>
        <v>2</v>
      </c>
      <c r="AN93" s="26">
        <f t="shared" si="70"/>
        <v>2</v>
      </c>
      <c r="AO93" s="26">
        <f t="shared" si="70"/>
        <v>0</v>
      </c>
      <c r="AP93" s="26">
        <f t="shared" si="70"/>
        <v>2</v>
      </c>
      <c r="AQ93" s="26">
        <f t="shared" si="70"/>
        <v>2</v>
      </c>
      <c r="AR93" s="26">
        <f t="shared" si="70"/>
        <v>2</v>
      </c>
      <c r="AS93" s="26">
        <f t="shared" si="70"/>
        <v>2</v>
      </c>
    </row>
    <row r="94" spans="1:45" x14ac:dyDescent="0.35">
      <c r="A94" s="7" t="str">
        <v>Interrogating - Call session control function software</v>
      </c>
      <c r="C94" s="9">
        <v>8</v>
      </c>
      <c r="D94" s="26">
        <f t="shared" si="57"/>
        <v>1714</v>
      </c>
      <c r="E94" s="26">
        <f t="shared" ref="E94:W94" si="71">D94+E50-E72</f>
        <v>1714</v>
      </c>
      <c r="F94" s="26">
        <f t="shared" si="71"/>
        <v>1714</v>
      </c>
      <c r="G94" s="26">
        <f t="shared" si="71"/>
        <v>1714</v>
      </c>
      <c r="H94" s="26">
        <f t="shared" si="71"/>
        <v>1714</v>
      </c>
      <c r="I94" s="26">
        <f t="shared" si="71"/>
        <v>1714</v>
      </c>
      <c r="J94" s="26">
        <f t="shared" si="71"/>
        <v>1714</v>
      </c>
      <c r="K94" s="26">
        <f t="shared" si="71"/>
        <v>0</v>
      </c>
      <c r="L94" s="26">
        <f t="shared" si="71"/>
        <v>758</v>
      </c>
      <c r="M94" s="26">
        <f t="shared" si="71"/>
        <v>758</v>
      </c>
      <c r="N94" s="26">
        <f t="shared" si="71"/>
        <v>758</v>
      </c>
      <c r="O94" s="26">
        <f t="shared" si="71"/>
        <v>758</v>
      </c>
      <c r="P94" s="26">
        <f t="shared" si="71"/>
        <v>758</v>
      </c>
      <c r="Q94" s="26">
        <f t="shared" si="71"/>
        <v>758</v>
      </c>
      <c r="R94" s="26">
        <f t="shared" si="71"/>
        <v>758</v>
      </c>
      <c r="S94" s="26">
        <f t="shared" si="71"/>
        <v>0</v>
      </c>
      <c r="T94" s="26">
        <f t="shared" si="71"/>
        <v>340</v>
      </c>
      <c r="U94" s="26">
        <f t="shared" si="71"/>
        <v>340</v>
      </c>
      <c r="V94" s="26">
        <f t="shared" si="71"/>
        <v>340</v>
      </c>
      <c r="W94" s="26">
        <f t="shared" si="71"/>
        <v>340</v>
      </c>
      <c r="Z94" s="26">
        <f t="shared" si="59"/>
        <v>1266</v>
      </c>
      <c r="AA94" s="26">
        <f t="shared" ref="AA94:AS94" si="72">Z94+AA50-AA72</f>
        <v>1266</v>
      </c>
      <c r="AB94" s="26">
        <f t="shared" si="72"/>
        <v>1266</v>
      </c>
      <c r="AC94" s="26">
        <f t="shared" si="72"/>
        <v>1266</v>
      </c>
      <c r="AD94" s="26">
        <f t="shared" si="72"/>
        <v>1266</v>
      </c>
      <c r="AE94" s="26">
        <f t="shared" si="72"/>
        <v>1266</v>
      </c>
      <c r="AF94" s="26">
        <f t="shared" si="72"/>
        <v>1266</v>
      </c>
      <c r="AG94" s="26">
        <f t="shared" si="72"/>
        <v>0</v>
      </c>
      <c r="AH94" s="26">
        <f t="shared" si="72"/>
        <v>528</v>
      </c>
      <c r="AI94" s="26">
        <f t="shared" si="72"/>
        <v>528</v>
      </c>
      <c r="AJ94" s="26">
        <f t="shared" si="72"/>
        <v>528</v>
      </c>
      <c r="AK94" s="26">
        <f t="shared" si="72"/>
        <v>528</v>
      </c>
      <c r="AL94" s="26">
        <f t="shared" si="72"/>
        <v>528</v>
      </c>
      <c r="AM94" s="26">
        <f t="shared" si="72"/>
        <v>528</v>
      </c>
      <c r="AN94" s="26">
        <f t="shared" si="72"/>
        <v>528</v>
      </c>
      <c r="AO94" s="26">
        <f t="shared" si="72"/>
        <v>0</v>
      </c>
      <c r="AP94" s="26">
        <f t="shared" si="72"/>
        <v>236</v>
      </c>
      <c r="AQ94" s="26">
        <f t="shared" si="72"/>
        <v>236</v>
      </c>
      <c r="AR94" s="26">
        <f t="shared" si="72"/>
        <v>236</v>
      </c>
      <c r="AS94" s="26">
        <f t="shared" si="72"/>
        <v>236</v>
      </c>
    </row>
    <row r="95" spans="1:45" x14ac:dyDescent="0.35">
      <c r="A95" s="7" t="str">
        <v>Serving - Call session control function hardware</v>
      </c>
      <c r="C95" s="9">
        <v>8</v>
      </c>
      <c r="D95" s="26">
        <f t="shared" si="57"/>
        <v>2</v>
      </c>
      <c r="E95" s="26">
        <f t="shared" ref="E95:W95" si="73">D95+E51-E73</f>
        <v>2</v>
      </c>
      <c r="F95" s="26">
        <f t="shared" si="73"/>
        <v>2</v>
      </c>
      <c r="G95" s="26">
        <f t="shared" si="73"/>
        <v>2</v>
      </c>
      <c r="H95" s="26">
        <f t="shared" si="73"/>
        <v>2</v>
      </c>
      <c r="I95" s="26">
        <f t="shared" si="73"/>
        <v>2</v>
      </c>
      <c r="J95" s="26">
        <f t="shared" si="73"/>
        <v>2</v>
      </c>
      <c r="K95" s="26">
        <f t="shared" si="73"/>
        <v>0</v>
      </c>
      <c r="L95" s="26">
        <f t="shared" si="73"/>
        <v>2</v>
      </c>
      <c r="M95" s="26">
        <f t="shared" si="73"/>
        <v>2</v>
      </c>
      <c r="N95" s="26">
        <f t="shared" si="73"/>
        <v>2</v>
      </c>
      <c r="O95" s="26">
        <f t="shared" si="73"/>
        <v>2</v>
      </c>
      <c r="P95" s="26">
        <f t="shared" si="73"/>
        <v>2</v>
      </c>
      <c r="Q95" s="26">
        <f t="shared" si="73"/>
        <v>2</v>
      </c>
      <c r="R95" s="26">
        <f t="shared" si="73"/>
        <v>2</v>
      </c>
      <c r="S95" s="26">
        <f t="shared" si="73"/>
        <v>0</v>
      </c>
      <c r="T95" s="26">
        <f t="shared" si="73"/>
        <v>2</v>
      </c>
      <c r="U95" s="26">
        <f t="shared" si="73"/>
        <v>2</v>
      </c>
      <c r="V95" s="26">
        <f t="shared" si="73"/>
        <v>2</v>
      </c>
      <c r="W95" s="26">
        <f t="shared" si="73"/>
        <v>2</v>
      </c>
      <c r="Z95" s="26">
        <f t="shared" si="59"/>
        <v>2</v>
      </c>
      <c r="AA95" s="26">
        <f t="shared" ref="AA95:AS95" si="74">Z95+AA51-AA73</f>
        <v>2</v>
      </c>
      <c r="AB95" s="26">
        <f t="shared" si="74"/>
        <v>2</v>
      </c>
      <c r="AC95" s="26">
        <f t="shared" si="74"/>
        <v>2</v>
      </c>
      <c r="AD95" s="26">
        <f t="shared" si="74"/>
        <v>2</v>
      </c>
      <c r="AE95" s="26">
        <f t="shared" si="74"/>
        <v>2</v>
      </c>
      <c r="AF95" s="26">
        <f t="shared" si="74"/>
        <v>2</v>
      </c>
      <c r="AG95" s="26">
        <f t="shared" si="74"/>
        <v>0</v>
      </c>
      <c r="AH95" s="26">
        <f t="shared" si="74"/>
        <v>2</v>
      </c>
      <c r="AI95" s="26">
        <f t="shared" si="74"/>
        <v>2</v>
      </c>
      <c r="AJ95" s="26">
        <f t="shared" si="74"/>
        <v>2</v>
      </c>
      <c r="AK95" s="26">
        <f t="shared" si="74"/>
        <v>2</v>
      </c>
      <c r="AL95" s="26">
        <f t="shared" si="74"/>
        <v>2</v>
      </c>
      <c r="AM95" s="26">
        <f t="shared" si="74"/>
        <v>2</v>
      </c>
      <c r="AN95" s="26">
        <f t="shared" si="74"/>
        <v>2</v>
      </c>
      <c r="AO95" s="26">
        <f t="shared" si="74"/>
        <v>0</v>
      </c>
      <c r="AP95" s="26">
        <f t="shared" si="74"/>
        <v>2</v>
      </c>
      <c r="AQ95" s="26">
        <f t="shared" si="74"/>
        <v>2</v>
      </c>
      <c r="AR95" s="26">
        <f t="shared" si="74"/>
        <v>2</v>
      </c>
      <c r="AS95" s="26">
        <f t="shared" si="74"/>
        <v>2</v>
      </c>
    </row>
    <row r="96" spans="1:45" x14ac:dyDescent="0.35">
      <c r="A96" s="7" t="str">
        <v>Serving - Call session control function software</v>
      </c>
      <c r="C96" s="9">
        <v>8</v>
      </c>
      <c r="D96" s="26">
        <f t="shared" si="57"/>
        <v>1714</v>
      </c>
      <c r="E96" s="26">
        <f t="shared" ref="E96:W96" si="75">D96+E52-E74</f>
        <v>1714</v>
      </c>
      <c r="F96" s="26">
        <f t="shared" si="75"/>
        <v>1714</v>
      </c>
      <c r="G96" s="26">
        <f t="shared" si="75"/>
        <v>1714</v>
      </c>
      <c r="H96" s="26">
        <f t="shared" si="75"/>
        <v>1714</v>
      </c>
      <c r="I96" s="26">
        <f t="shared" si="75"/>
        <v>1714</v>
      </c>
      <c r="J96" s="26">
        <f t="shared" si="75"/>
        <v>1714</v>
      </c>
      <c r="K96" s="26">
        <f t="shared" si="75"/>
        <v>0</v>
      </c>
      <c r="L96" s="26">
        <f t="shared" si="75"/>
        <v>758</v>
      </c>
      <c r="M96" s="26">
        <f t="shared" si="75"/>
        <v>758</v>
      </c>
      <c r="N96" s="26">
        <f t="shared" si="75"/>
        <v>758</v>
      </c>
      <c r="O96" s="26">
        <f t="shared" si="75"/>
        <v>758</v>
      </c>
      <c r="P96" s="26">
        <f t="shared" si="75"/>
        <v>758</v>
      </c>
      <c r="Q96" s="26">
        <f t="shared" si="75"/>
        <v>758</v>
      </c>
      <c r="R96" s="26">
        <f t="shared" si="75"/>
        <v>758</v>
      </c>
      <c r="S96" s="26">
        <f t="shared" si="75"/>
        <v>0</v>
      </c>
      <c r="T96" s="26">
        <f t="shared" si="75"/>
        <v>340</v>
      </c>
      <c r="U96" s="26">
        <f t="shared" si="75"/>
        <v>340</v>
      </c>
      <c r="V96" s="26">
        <f t="shared" si="75"/>
        <v>340</v>
      </c>
      <c r="W96" s="26">
        <f t="shared" si="75"/>
        <v>340</v>
      </c>
      <c r="Z96" s="26">
        <f t="shared" si="59"/>
        <v>1266</v>
      </c>
      <c r="AA96" s="26">
        <f t="shared" ref="AA96:AS96" si="76">Z96+AA52-AA74</f>
        <v>1266</v>
      </c>
      <c r="AB96" s="26">
        <f t="shared" si="76"/>
        <v>1266</v>
      </c>
      <c r="AC96" s="26">
        <f t="shared" si="76"/>
        <v>1266</v>
      </c>
      <c r="AD96" s="26">
        <f t="shared" si="76"/>
        <v>1266</v>
      </c>
      <c r="AE96" s="26">
        <f t="shared" si="76"/>
        <v>1266</v>
      </c>
      <c r="AF96" s="26">
        <f t="shared" si="76"/>
        <v>1266</v>
      </c>
      <c r="AG96" s="26">
        <f t="shared" si="76"/>
        <v>0</v>
      </c>
      <c r="AH96" s="26">
        <f t="shared" si="76"/>
        <v>528</v>
      </c>
      <c r="AI96" s="26">
        <f t="shared" si="76"/>
        <v>528</v>
      </c>
      <c r="AJ96" s="26">
        <f t="shared" si="76"/>
        <v>528</v>
      </c>
      <c r="AK96" s="26">
        <f t="shared" si="76"/>
        <v>528</v>
      </c>
      <c r="AL96" s="26">
        <f t="shared" si="76"/>
        <v>528</v>
      </c>
      <c r="AM96" s="26">
        <f t="shared" si="76"/>
        <v>528</v>
      </c>
      <c r="AN96" s="26">
        <f t="shared" si="76"/>
        <v>528</v>
      </c>
      <c r="AO96" s="26">
        <f t="shared" si="76"/>
        <v>0</v>
      </c>
      <c r="AP96" s="26">
        <f t="shared" si="76"/>
        <v>236</v>
      </c>
      <c r="AQ96" s="26">
        <f t="shared" si="76"/>
        <v>236</v>
      </c>
      <c r="AR96" s="26">
        <f t="shared" si="76"/>
        <v>236</v>
      </c>
      <c r="AS96" s="26">
        <f t="shared" si="76"/>
        <v>236</v>
      </c>
    </row>
    <row r="97" spans="1:67" x14ac:dyDescent="0.35">
      <c r="A97" s="7" t="str">
        <v>Media resource function - hardware</v>
      </c>
      <c r="C97" s="9">
        <v>8</v>
      </c>
      <c r="D97" s="26">
        <f t="shared" si="57"/>
        <v>14</v>
      </c>
      <c r="E97" s="26">
        <f t="shared" ref="E97:W97" si="77">D97+E53-E75</f>
        <v>14</v>
      </c>
      <c r="F97" s="26">
        <f t="shared" si="77"/>
        <v>14</v>
      </c>
      <c r="G97" s="26">
        <f t="shared" si="77"/>
        <v>14</v>
      </c>
      <c r="H97" s="26">
        <f t="shared" si="77"/>
        <v>14</v>
      </c>
      <c r="I97" s="26">
        <f t="shared" si="77"/>
        <v>14</v>
      </c>
      <c r="J97" s="26">
        <f t="shared" si="77"/>
        <v>14</v>
      </c>
      <c r="K97" s="26">
        <f t="shared" si="77"/>
        <v>0</v>
      </c>
      <c r="L97" s="26">
        <f t="shared" si="77"/>
        <v>6</v>
      </c>
      <c r="M97" s="26">
        <f t="shared" si="77"/>
        <v>6</v>
      </c>
      <c r="N97" s="26">
        <f t="shared" si="77"/>
        <v>6</v>
      </c>
      <c r="O97" s="26">
        <f t="shared" si="77"/>
        <v>6</v>
      </c>
      <c r="P97" s="26">
        <f t="shared" si="77"/>
        <v>6</v>
      </c>
      <c r="Q97" s="26">
        <f t="shared" si="77"/>
        <v>6</v>
      </c>
      <c r="R97" s="26">
        <f t="shared" si="77"/>
        <v>6</v>
      </c>
      <c r="S97" s="26">
        <f t="shared" si="77"/>
        <v>0</v>
      </c>
      <c r="T97" s="26">
        <f t="shared" si="77"/>
        <v>4</v>
      </c>
      <c r="U97" s="26">
        <f t="shared" si="77"/>
        <v>4</v>
      </c>
      <c r="V97" s="26">
        <f t="shared" si="77"/>
        <v>4</v>
      </c>
      <c r="W97" s="26">
        <f t="shared" si="77"/>
        <v>4</v>
      </c>
      <c r="Z97" s="26">
        <f t="shared" si="59"/>
        <v>10</v>
      </c>
      <c r="AA97" s="26">
        <f t="shared" ref="AA97:AS97" si="78">Z97+AA53-AA75</f>
        <v>10</v>
      </c>
      <c r="AB97" s="26">
        <f t="shared" si="78"/>
        <v>10</v>
      </c>
      <c r="AC97" s="26">
        <f t="shared" si="78"/>
        <v>10</v>
      </c>
      <c r="AD97" s="26">
        <f t="shared" si="78"/>
        <v>10</v>
      </c>
      <c r="AE97" s="26">
        <f t="shared" si="78"/>
        <v>10</v>
      </c>
      <c r="AF97" s="26">
        <f t="shared" si="78"/>
        <v>10</v>
      </c>
      <c r="AG97" s="26">
        <f t="shared" si="78"/>
        <v>0</v>
      </c>
      <c r="AH97" s="26">
        <f t="shared" si="78"/>
        <v>4</v>
      </c>
      <c r="AI97" s="26">
        <f t="shared" si="78"/>
        <v>4</v>
      </c>
      <c r="AJ97" s="26">
        <f t="shared" si="78"/>
        <v>4</v>
      </c>
      <c r="AK97" s="26">
        <f t="shared" si="78"/>
        <v>4</v>
      </c>
      <c r="AL97" s="26">
        <f t="shared" si="78"/>
        <v>4</v>
      </c>
      <c r="AM97" s="26">
        <f t="shared" si="78"/>
        <v>4</v>
      </c>
      <c r="AN97" s="26">
        <f t="shared" si="78"/>
        <v>4</v>
      </c>
      <c r="AO97" s="26">
        <f t="shared" si="78"/>
        <v>0</v>
      </c>
      <c r="AP97" s="26">
        <f t="shared" si="78"/>
        <v>2</v>
      </c>
      <c r="AQ97" s="26">
        <f t="shared" si="78"/>
        <v>2</v>
      </c>
      <c r="AR97" s="26">
        <f t="shared" si="78"/>
        <v>2</v>
      </c>
      <c r="AS97" s="26">
        <f t="shared" si="78"/>
        <v>2</v>
      </c>
    </row>
    <row r="98" spans="1:67" x14ac:dyDescent="0.35">
      <c r="A98" s="7" t="str">
        <v>Media resource function - software</v>
      </c>
      <c r="C98" s="9">
        <v>8</v>
      </c>
      <c r="D98" s="26">
        <f t="shared" si="57"/>
        <v>142152</v>
      </c>
      <c r="E98" s="26">
        <f t="shared" ref="E98:W98" si="79">D98+E54-E76</f>
        <v>142152</v>
      </c>
      <c r="F98" s="26">
        <f t="shared" si="79"/>
        <v>142152</v>
      </c>
      <c r="G98" s="26">
        <f t="shared" si="79"/>
        <v>142152</v>
      </c>
      <c r="H98" s="26">
        <f t="shared" si="79"/>
        <v>142152</v>
      </c>
      <c r="I98" s="26">
        <f t="shared" si="79"/>
        <v>142152</v>
      </c>
      <c r="J98" s="26">
        <f t="shared" si="79"/>
        <v>142152</v>
      </c>
      <c r="K98" s="26">
        <f t="shared" si="79"/>
        <v>0</v>
      </c>
      <c r="L98" s="26">
        <f t="shared" si="79"/>
        <v>61638</v>
      </c>
      <c r="M98" s="26">
        <f t="shared" si="79"/>
        <v>61638</v>
      </c>
      <c r="N98" s="26">
        <f t="shared" si="79"/>
        <v>61638</v>
      </c>
      <c r="O98" s="26">
        <f t="shared" si="79"/>
        <v>61638</v>
      </c>
      <c r="P98" s="26">
        <f t="shared" si="79"/>
        <v>61638</v>
      </c>
      <c r="Q98" s="26">
        <f t="shared" si="79"/>
        <v>61638</v>
      </c>
      <c r="R98" s="26">
        <f t="shared" si="79"/>
        <v>61638</v>
      </c>
      <c r="S98" s="26">
        <f t="shared" si="79"/>
        <v>0</v>
      </c>
      <c r="T98" s="26">
        <f t="shared" si="79"/>
        <v>27606</v>
      </c>
      <c r="U98" s="26">
        <f t="shared" si="79"/>
        <v>27606</v>
      </c>
      <c r="V98" s="26">
        <f t="shared" si="79"/>
        <v>27606</v>
      </c>
      <c r="W98" s="26">
        <f t="shared" si="79"/>
        <v>27606</v>
      </c>
      <c r="Z98" s="26">
        <f t="shared" si="59"/>
        <v>110792</v>
      </c>
      <c r="AA98" s="26">
        <f t="shared" ref="AA98:AS98" si="80">Z98+AA54-AA76</f>
        <v>110792</v>
      </c>
      <c r="AB98" s="26">
        <f t="shared" si="80"/>
        <v>110792</v>
      </c>
      <c r="AC98" s="26">
        <f t="shared" si="80"/>
        <v>110792</v>
      </c>
      <c r="AD98" s="26">
        <f t="shared" si="80"/>
        <v>110792</v>
      </c>
      <c r="AE98" s="26">
        <f t="shared" si="80"/>
        <v>110792</v>
      </c>
      <c r="AF98" s="26">
        <f t="shared" si="80"/>
        <v>110792</v>
      </c>
      <c r="AG98" s="26">
        <f t="shared" si="80"/>
        <v>0</v>
      </c>
      <c r="AH98" s="26">
        <f t="shared" si="80"/>
        <v>45580</v>
      </c>
      <c r="AI98" s="26">
        <f t="shared" si="80"/>
        <v>45580</v>
      </c>
      <c r="AJ98" s="26">
        <f t="shared" si="80"/>
        <v>45580</v>
      </c>
      <c r="AK98" s="26">
        <f t="shared" si="80"/>
        <v>45580</v>
      </c>
      <c r="AL98" s="26">
        <f t="shared" si="80"/>
        <v>45580</v>
      </c>
      <c r="AM98" s="26">
        <f t="shared" si="80"/>
        <v>45580</v>
      </c>
      <c r="AN98" s="26">
        <f t="shared" si="80"/>
        <v>45580</v>
      </c>
      <c r="AO98" s="26">
        <f t="shared" si="80"/>
        <v>0</v>
      </c>
      <c r="AP98" s="26">
        <f t="shared" si="80"/>
        <v>20414</v>
      </c>
      <c r="AQ98" s="26">
        <f t="shared" si="80"/>
        <v>20414</v>
      </c>
      <c r="AR98" s="26">
        <f t="shared" si="80"/>
        <v>20414</v>
      </c>
      <c r="AS98" s="26">
        <f t="shared" si="80"/>
        <v>20414</v>
      </c>
    </row>
    <row r="99" spans="1:67" x14ac:dyDescent="0.35">
      <c r="A99" s="7" t="str">
        <v>Access session border controller - hardware</v>
      </c>
      <c r="C99" s="9">
        <v>8</v>
      </c>
      <c r="D99" s="26">
        <f t="shared" si="57"/>
        <v>6</v>
      </c>
      <c r="E99" s="26">
        <f t="shared" ref="E99:W99" si="81">D99+E55-E77</f>
        <v>6</v>
      </c>
      <c r="F99" s="26">
        <f t="shared" si="81"/>
        <v>6</v>
      </c>
      <c r="G99" s="26">
        <f t="shared" si="81"/>
        <v>6</v>
      </c>
      <c r="H99" s="26">
        <f t="shared" si="81"/>
        <v>6</v>
      </c>
      <c r="I99" s="26">
        <f t="shared" si="81"/>
        <v>6</v>
      </c>
      <c r="J99" s="26">
        <f t="shared" si="81"/>
        <v>6</v>
      </c>
      <c r="K99" s="26">
        <f t="shared" si="81"/>
        <v>0</v>
      </c>
      <c r="L99" s="26">
        <f t="shared" si="81"/>
        <v>2</v>
      </c>
      <c r="M99" s="26">
        <f t="shared" si="81"/>
        <v>2</v>
      </c>
      <c r="N99" s="26">
        <f t="shared" si="81"/>
        <v>2</v>
      </c>
      <c r="O99" s="26">
        <f t="shared" si="81"/>
        <v>2</v>
      </c>
      <c r="P99" s="26">
        <f t="shared" si="81"/>
        <v>2</v>
      </c>
      <c r="Q99" s="26">
        <f t="shared" si="81"/>
        <v>2</v>
      </c>
      <c r="R99" s="26">
        <f t="shared" si="81"/>
        <v>2</v>
      </c>
      <c r="S99" s="26">
        <f t="shared" si="81"/>
        <v>0</v>
      </c>
      <c r="T99" s="26">
        <f t="shared" si="81"/>
        <v>2</v>
      </c>
      <c r="U99" s="26">
        <f t="shared" si="81"/>
        <v>2</v>
      </c>
      <c r="V99" s="26">
        <f t="shared" si="81"/>
        <v>2</v>
      </c>
      <c r="W99" s="26">
        <f t="shared" si="81"/>
        <v>2</v>
      </c>
      <c r="Z99" s="26">
        <f t="shared" si="59"/>
        <v>4</v>
      </c>
      <c r="AA99" s="26">
        <f t="shared" ref="AA99:AS99" si="82">Z99+AA55-AA77</f>
        <v>4</v>
      </c>
      <c r="AB99" s="26">
        <f t="shared" si="82"/>
        <v>4</v>
      </c>
      <c r="AC99" s="26">
        <f t="shared" si="82"/>
        <v>4</v>
      </c>
      <c r="AD99" s="26">
        <f t="shared" si="82"/>
        <v>4</v>
      </c>
      <c r="AE99" s="26">
        <f t="shared" si="82"/>
        <v>4</v>
      </c>
      <c r="AF99" s="26">
        <f t="shared" si="82"/>
        <v>4</v>
      </c>
      <c r="AG99" s="26">
        <f t="shared" si="82"/>
        <v>0</v>
      </c>
      <c r="AH99" s="26">
        <f t="shared" si="82"/>
        <v>2</v>
      </c>
      <c r="AI99" s="26">
        <f t="shared" si="82"/>
        <v>2</v>
      </c>
      <c r="AJ99" s="26">
        <f t="shared" si="82"/>
        <v>2</v>
      </c>
      <c r="AK99" s="26">
        <f t="shared" si="82"/>
        <v>2</v>
      </c>
      <c r="AL99" s="26">
        <f t="shared" si="82"/>
        <v>2</v>
      </c>
      <c r="AM99" s="26">
        <f t="shared" si="82"/>
        <v>2</v>
      </c>
      <c r="AN99" s="26">
        <f t="shared" si="82"/>
        <v>2</v>
      </c>
      <c r="AO99" s="26">
        <f t="shared" si="82"/>
        <v>0</v>
      </c>
      <c r="AP99" s="26">
        <f t="shared" si="82"/>
        <v>2</v>
      </c>
      <c r="AQ99" s="26">
        <f t="shared" si="82"/>
        <v>2</v>
      </c>
      <c r="AR99" s="26">
        <f t="shared" si="82"/>
        <v>2</v>
      </c>
      <c r="AS99" s="26">
        <f t="shared" si="82"/>
        <v>2</v>
      </c>
    </row>
    <row r="100" spans="1:67" x14ac:dyDescent="0.35">
      <c r="A100" s="7" t="str">
        <v>Access session border controller - software</v>
      </c>
      <c r="C100" s="9">
        <v>8</v>
      </c>
      <c r="D100" s="26">
        <f t="shared" si="57"/>
        <v>10</v>
      </c>
      <c r="E100" s="26">
        <f t="shared" ref="E100:W100" si="83">D100+E56-E78</f>
        <v>10</v>
      </c>
      <c r="F100" s="26">
        <f t="shared" si="83"/>
        <v>10</v>
      </c>
      <c r="G100" s="26">
        <f t="shared" si="83"/>
        <v>10</v>
      </c>
      <c r="H100" s="26">
        <f t="shared" si="83"/>
        <v>10</v>
      </c>
      <c r="I100" s="26">
        <f t="shared" si="83"/>
        <v>10</v>
      </c>
      <c r="J100" s="26">
        <f t="shared" si="83"/>
        <v>10</v>
      </c>
      <c r="K100" s="26">
        <f t="shared" si="83"/>
        <v>0</v>
      </c>
      <c r="L100" s="26">
        <f t="shared" si="83"/>
        <v>4</v>
      </c>
      <c r="M100" s="26">
        <f t="shared" si="83"/>
        <v>4</v>
      </c>
      <c r="N100" s="26">
        <f t="shared" si="83"/>
        <v>4</v>
      </c>
      <c r="O100" s="26">
        <f t="shared" si="83"/>
        <v>4</v>
      </c>
      <c r="P100" s="26">
        <f t="shared" si="83"/>
        <v>4</v>
      </c>
      <c r="Q100" s="26">
        <f t="shared" si="83"/>
        <v>4</v>
      </c>
      <c r="R100" s="26">
        <f t="shared" si="83"/>
        <v>4</v>
      </c>
      <c r="S100" s="26">
        <f t="shared" si="83"/>
        <v>0</v>
      </c>
      <c r="T100" s="26">
        <f t="shared" si="83"/>
        <v>2</v>
      </c>
      <c r="U100" s="26">
        <f t="shared" si="83"/>
        <v>2</v>
      </c>
      <c r="V100" s="26">
        <f t="shared" si="83"/>
        <v>2</v>
      </c>
      <c r="W100" s="26">
        <f t="shared" si="83"/>
        <v>2</v>
      </c>
      <c r="Z100" s="26">
        <f t="shared" si="59"/>
        <v>8</v>
      </c>
      <c r="AA100" s="26">
        <f t="shared" ref="AA100:AS100" si="84">Z100+AA56-AA78</f>
        <v>8</v>
      </c>
      <c r="AB100" s="26">
        <f t="shared" si="84"/>
        <v>8</v>
      </c>
      <c r="AC100" s="26">
        <f t="shared" si="84"/>
        <v>8</v>
      </c>
      <c r="AD100" s="26">
        <f t="shared" si="84"/>
        <v>8</v>
      </c>
      <c r="AE100" s="26">
        <f t="shared" si="84"/>
        <v>8</v>
      </c>
      <c r="AF100" s="26">
        <f t="shared" si="84"/>
        <v>8</v>
      </c>
      <c r="AG100" s="26">
        <f t="shared" si="84"/>
        <v>0</v>
      </c>
      <c r="AH100" s="26">
        <f t="shared" si="84"/>
        <v>4</v>
      </c>
      <c r="AI100" s="26">
        <f t="shared" si="84"/>
        <v>4</v>
      </c>
      <c r="AJ100" s="26">
        <f t="shared" si="84"/>
        <v>4</v>
      </c>
      <c r="AK100" s="26">
        <f t="shared" si="84"/>
        <v>4</v>
      </c>
      <c r="AL100" s="26">
        <f t="shared" si="84"/>
        <v>4</v>
      </c>
      <c r="AM100" s="26">
        <f t="shared" si="84"/>
        <v>4</v>
      </c>
      <c r="AN100" s="26">
        <f t="shared" si="84"/>
        <v>4</v>
      </c>
      <c r="AO100" s="26">
        <f t="shared" si="84"/>
        <v>0</v>
      </c>
      <c r="AP100" s="26">
        <f t="shared" si="84"/>
        <v>2</v>
      </c>
      <c r="AQ100" s="26">
        <f t="shared" si="84"/>
        <v>2</v>
      </c>
      <c r="AR100" s="26">
        <f t="shared" si="84"/>
        <v>2</v>
      </c>
      <c r="AS100" s="26">
        <f t="shared" si="84"/>
        <v>2</v>
      </c>
    </row>
    <row r="101" spans="1:67" x14ac:dyDescent="0.35">
      <c r="A101" s="7" t="str">
        <v>Internet exchange point session border controller - hardware</v>
      </c>
      <c r="C101" s="9">
        <v>8</v>
      </c>
      <c r="D101" s="26">
        <f t="shared" si="57"/>
        <v>4</v>
      </c>
      <c r="E101" s="26">
        <f t="shared" ref="E101:W101" si="85">D101+E57-E79</f>
        <v>4</v>
      </c>
      <c r="F101" s="26">
        <f t="shared" si="85"/>
        <v>4</v>
      </c>
      <c r="G101" s="26">
        <f t="shared" si="85"/>
        <v>4</v>
      </c>
      <c r="H101" s="26">
        <f t="shared" si="85"/>
        <v>4</v>
      </c>
      <c r="I101" s="26">
        <f t="shared" si="85"/>
        <v>4</v>
      </c>
      <c r="J101" s="26">
        <f t="shared" si="85"/>
        <v>4</v>
      </c>
      <c r="K101" s="26">
        <f t="shared" si="85"/>
        <v>0</v>
      </c>
      <c r="L101" s="26">
        <f t="shared" si="85"/>
        <v>2</v>
      </c>
      <c r="M101" s="26">
        <f t="shared" si="85"/>
        <v>2</v>
      </c>
      <c r="N101" s="26">
        <f t="shared" si="85"/>
        <v>2</v>
      </c>
      <c r="O101" s="26">
        <f t="shared" si="85"/>
        <v>2</v>
      </c>
      <c r="P101" s="26">
        <f t="shared" si="85"/>
        <v>2</v>
      </c>
      <c r="Q101" s="26">
        <f t="shared" si="85"/>
        <v>2</v>
      </c>
      <c r="R101" s="26">
        <f t="shared" si="85"/>
        <v>2</v>
      </c>
      <c r="S101" s="26">
        <f t="shared" si="85"/>
        <v>0</v>
      </c>
      <c r="T101" s="26">
        <f t="shared" si="85"/>
        <v>2</v>
      </c>
      <c r="U101" s="26">
        <f t="shared" si="85"/>
        <v>2</v>
      </c>
      <c r="V101" s="26">
        <f t="shared" si="85"/>
        <v>2</v>
      </c>
      <c r="W101" s="26">
        <f t="shared" si="85"/>
        <v>2</v>
      </c>
      <c r="Z101" s="26">
        <f t="shared" si="59"/>
        <v>4</v>
      </c>
      <c r="AA101" s="26">
        <f t="shared" ref="AA101:AS101" si="86">Z101+AA57-AA79</f>
        <v>4</v>
      </c>
      <c r="AB101" s="26">
        <f t="shared" si="86"/>
        <v>4</v>
      </c>
      <c r="AC101" s="26">
        <f t="shared" si="86"/>
        <v>4</v>
      </c>
      <c r="AD101" s="26">
        <f t="shared" si="86"/>
        <v>4</v>
      </c>
      <c r="AE101" s="26">
        <f t="shared" si="86"/>
        <v>4</v>
      </c>
      <c r="AF101" s="26">
        <f t="shared" si="86"/>
        <v>4</v>
      </c>
      <c r="AG101" s="26">
        <f t="shared" si="86"/>
        <v>0</v>
      </c>
      <c r="AH101" s="26">
        <f t="shared" si="86"/>
        <v>2</v>
      </c>
      <c r="AI101" s="26">
        <f t="shared" si="86"/>
        <v>2</v>
      </c>
      <c r="AJ101" s="26">
        <f t="shared" si="86"/>
        <v>2</v>
      </c>
      <c r="AK101" s="26">
        <f t="shared" si="86"/>
        <v>2</v>
      </c>
      <c r="AL101" s="26">
        <f t="shared" si="86"/>
        <v>2</v>
      </c>
      <c r="AM101" s="26">
        <f t="shared" si="86"/>
        <v>2</v>
      </c>
      <c r="AN101" s="26">
        <f t="shared" si="86"/>
        <v>2</v>
      </c>
      <c r="AO101" s="26">
        <f t="shared" si="86"/>
        <v>0</v>
      </c>
      <c r="AP101" s="26">
        <f t="shared" si="86"/>
        <v>2</v>
      </c>
      <c r="AQ101" s="26">
        <f t="shared" si="86"/>
        <v>2</v>
      </c>
      <c r="AR101" s="26">
        <f t="shared" si="86"/>
        <v>2</v>
      </c>
      <c r="AS101" s="26">
        <f t="shared" si="86"/>
        <v>2</v>
      </c>
    </row>
    <row r="102" spans="1:67" x14ac:dyDescent="0.35">
      <c r="A102" s="7" t="str">
        <v>Internet exchange point session border controller - software</v>
      </c>
      <c r="C102" s="9">
        <v>8</v>
      </c>
      <c r="D102" s="26">
        <f t="shared" si="57"/>
        <v>8</v>
      </c>
      <c r="E102" s="26">
        <f>D102+E58-E80</f>
        <v>8</v>
      </c>
      <c r="F102" s="26">
        <f t="shared" ref="F102:W102" si="87">E102+F58-F80</f>
        <v>8</v>
      </c>
      <c r="G102" s="26">
        <f t="shared" si="87"/>
        <v>8</v>
      </c>
      <c r="H102" s="26">
        <f t="shared" si="87"/>
        <v>8</v>
      </c>
      <c r="I102" s="26">
        <f t="shared" si="87"/>
        <v>8</v>
      </c>
      <c r="J102" s="26">
        <f t="shared" si="87"/>
        <v>8</v>
      </c>
      <c r="K102" s="26">
        <f t="shared" si="87"/>
        <v>0</v>
      </c>
      <c r="L102" s="26">
        <f t="shared" si="87"/>
        <v>4</v>
      </c>
      <c r="M102" s="26">
        <f t="shared" si="87"/>
        <v>4</v>
      </c>
      <c r="N102" s="26">
        <f t="shared" si="87"/>
        <v>4</v>
      </c>
      <c r="O102" s="26">
        <f t="shared" si="87"/>
        <v>4</v>
      </c>
      <c r="P102" s="26">
        <f t="shared" si="87"/>
        <v>4</v>
      </c>
      <c r="Q102" s="26">
        <f t="shared" si="87"/>
        <v>4</v>
      </c>
      <c r="R102" s="26">
        <f t="shared" si="87"/>
        <v>4</v>
      </c>
      <c r="S102" s="26">
        <f t="shared" si="87"/>
        <v>0</v>
      </c>
      <c r="T102" s="26">
        <f t="shared" si="87"/>
        <v>2</v>
      </c>
      <c r="U102" s="26">
        <f t="shared" si="87"/>
        <v>2</v>
      </c>
      <c r="V102" s="26">
        <f t="shared" si="87"/>
        <v>2</v>
      </c>
      <c r="W102" s="26">
        <f t="shared" si="87"/>
        <v>2</v>
      </c>
      <c r="X102" s="15"/>
      <c r="Z102" s="26">
        <f t="shared" si="59"/>
        <v>6</v>
      </c>
      <c r="AA102" s="26">
        <f t="shared" ref="AA102:AS102" si="88">Z102+AA58-AA80</f>
        <v>6</v>
      </c>
      <c r="AB102" s="26">
        <f t="shared" si="88"/>
        <v>6</v>
      </c>
      <c r="AC102" s="26">
        <f t="shared" si="88"/>
        <v>6</v>
      </c>
      <c r="AD102" s="26">
        <f t="shared" si="88"/>
        <v>6</v>
      </c>
      <c r="AE102" s="26">
        <f t="shared" si="88"/>
        <v>6</v>
      </c>
      <c r="AF102" s="26">
        <f t="shared" si="88"/>
        <v>6</v>
      </c>
      <c r="AG102" s="26">
        <f t="shared" si="88"/>
        <v>0</v>
      </c>
      <c r="AH102" s="26">
        <f t="shared" si="88"/>
        <v>4</v>
      </c>
      <c r="AI102" s="26">
        <f t="shared" si="88"/>
        <v>4</v>
      </c>
      <c r="AJ102" s="26">
        <f t="shared" si="88"/>
        <v>4</v>
      </c>
      <c r="AK102" s="26">
        <f t="shared" si="88"/>
        <v>4</v>
      </c>
      <c r="AL102" s="26">
        <f t="shared" si="88"/>
        <v>4</v>
      </c>
      <c r="AM102" s="26">
        <f t="shared" si="88"/>
        <v>4</v>
      </c>
      <c r="AN102" s="26">
        <f t="shared" si="88"/>
        <v>4</v>
      </c>
      <c r="AO102" s="26">
        <f t="shared" si="88"/>
        <v>0</v>
      </c>
      <c r="AP102" s="26">
        <f t="shared" si="88"/>
        <v>2</v>
      </c>
      <c r="AQ102" s="26">
        <f t="shared" si="88"/>
        <v>2</v>
      </c>
      <c r="AR102" s="26">
        <f t="shared" si="88"/>
        <v>2</v>
      </c>
      <c r="AS102" s="26">
        <f t="shared" si="88"/>
        <v>2</v>
      </c>
      <c r="AT102" s="15"/>
      <c r="AW102" s="114"/>
    </row>
    <row r="104" spans="1:67" x14ac:dyDescent="0.35">
      <c r="A104" s="29" t="s">
        <v>365</v>
      </c>
    </row>
    <row r="106" spans="1:67" x14ac:dyDescent="0.35">
      <c r="A106" s="12" t="s">
        <v>370</v>
      </c>
    </row>
    <row r="107" spans="1:67" x14ac:dyDescent="0.35">
      <c r="D107" s="48" t="s">
        <v>97</v>
      </c>
      <c r="E107" s="49"/>
      <c r="F107" s="49"/>
      <c r="G107" s="49"/>
      <c r="H107" s="49"/>
      <c r="I107" s="49"/>
      <c r="J107" s="49"/>
      <c r="K107" s="49"/>
      <c r="L107" s="49"/>
      <c r="M107" s="49"/>
      <c r="N107" s="49"/>
      <c r="O107" s="49"/>
      <c r="P107" s="49"/>
      <c r="Q107" s="49"/>
      <c r="R107" s="49"/>
      <c r="S107" s="49"/>
      <c r="T107" s="49"/>
      <c r="U107" s="49"/>
      <c r="V107" s="49"/>
      <c r="W107" s="49"/>
      <c r="Z107" s="48" t="s">
        <v>127</v>
      </c>
      <c r="AA107" s="49"/>
      <c r="AB107" s="49"/>
      <c r="AC107" s="49"/>
      <c r="AD107" s="49"/>
      <c r="AE107" s="49"/>
      <c r="AF107" s="49"/>
      <c r="AG107" s="49"/>
      <c r="AH107" s="49"/>
      <c r="AI107" s="49"/>
      <c r="AJ107" s="49"/>
      <c r="AK107" s="49"/>
      <c r="AL107" s="49"/>
      <c r="AM107" s="49"/>
      <c r="AN107" s="49"/>
      <c r="AO107" s="49"/>
      <c r="AP107" s="49"/>
      <c r="AQ107" s="49"/>
      <c r="AR107" s="49"/>
      <c r="AS107" s="49"/>
      <c r="AV107" s="48" t="s">
        <v>376</v>
      </c>
      <c r="AW107" s="49"/>
      <c r="AX107" s="49"/>
      <c r="AY107" s="49"/>
      <c r="AZ107" s="49"/>
      <c r="BA107" s="49"/>
      <c r="BB107" s="49"/>
      <c r="BC107" s="49"/>
      <c r="BD107" s="49"/>
      <c r="BE107" s="49"/>
      <c r="BF107" s="49"/>
      <c r="BG107" s="49"/>
      <c r="BH107" s="49"/>
      <c r="BI107" s="49"/>
      <c r="BJ107" s="49"/>
      <c r="BK107" s="49"/>
      <c r="BL107" s="49"/>
      <c r="BM107" s="49"/>
      <c r="BN107" s="49"/>
      <c r="BO107" s="49"/>
    </row>
    <row r="108" spans="1:67" x14ac:dyDescent="0.35">
      <c r="B108" s="15"/>
      <c r="C108" s="15"/>
      <c r="D108" s="12">
        <v>1</v>
      </c>
      <c r="E108" s="12">
        <v>2</v>
      </c>
      <c r="F108" s="12">
        <v>3</v>
      </c>
      <c r="G108" s="12">
        <v>4</v>
      </c>
      <c r="H108" s="12">
        <v>5</v>
      </c>
      <c r="I108" s="12">
        <v>6</v>
      </c>
      <c r="J108" s="12">
        <v>7</v>
      </c>
      <c r="K108" s="12">
        <v>8</v>
      </c>
      <c r="L108" s="12">
        <v>9</v>
      </c>
      <c r="M108" s="12">
        <v>10</v>
      </c>
      <c r="N108" s="12">
        <v>11</v>
      </c>
      <c r="O108" s="12">
        <v>12</v>
      </c>
      <c r="P108" s="12">
        <v>13</v>
      </c>
      <c r="Q108" s="12">
        <v>14</v>
      </c>
      <c r="R108" s="12">
        <v>15</v>
      </c>
      <c r="S108" s="12">
        <v>16</v>
      </c>
      <c r="T108" s="12">
        <v>17</v>
      </c>
      <c r="U108" s="12">
        <v>18</v>
      </c>
      <c r="V108" s="12">
        <v>19</v>
      </c>
      <c r="W108" s="12">
        <v>20</v>
      </c>
      <c r="Z108" s="18" cm="1">
        <f t="array" ref="Z108:AS108">time_index</f>
        <v>1</v>
      </c>
      <c r="AA108">
        <v>2</v>
      </c>
      <c r="AB108" s="12">
        <v>3</v>
      </c>
      <c r="AC108" s="12">
        <v>4</v>
      </c>
      <c r="AD108" s="12">
        <v>5</v>
      </c>
      <c r="AE108" s="12">
        <v>6</v>
      </c>
      <c r="AF108" s="12">
        <v>7</v>
      </c>
      <c r="AG108" s="12">
        <v>8</v>
      </c>
      <c r="AH108" s="12">
        <v>9</v>
      </c>
      <c r="AI108" s="12">
        <v>10</v>
      </c>
      <c r="AJ108" s="12">
        <v>11</v>
      </c>
      <c r="AK108" s="12">
        <v>12</v>
      </c>
      <c r="AL108" s="12">
        <v>13</v>
      </c>
      <c r="AM108" s="12">
        <v>14</v>
      </c>
      <c r="AN108" s="12">
        <v>15</v>
      </c>
      <c r="AO108" s="12">
        <v>16</v>
      </c>
      <c r="AP108" s="12">
        <v>17</v>
      </c>
      <c r="AQ108" s="12">
        <v>18</v>
      </c>
      <c r="AR108" s="12">
        <v>19</v>
      </c>
      <c r="AS108" s="12">
        <v>20</v>
      </c>
      <c r="AV108" s="12" cm="1">
        <f t="array" ref="AV108:BO108">time_index</f>
        <v>1</v>
      </c>
      <c r="AW108" s="12">
        <v>2</v>
      </c>
      <c r="AX108" s="12">
        <v>3</v>
      </c>
      <c r="AY108" s="12">
        <v>4</v>
      </c>
      <c r="AZ108" s="12">
        <v>5</v>
      </c>
      <c r="BA108" s="12">
        <v>6</v>
      </c>
      <c r="BB108" s="12">
        <v>7</v>
      </c>
      <c r="BC108" s="12">
        <v>8</v>
      </c>
      <c r="BD108" s="12">
        <v>9</v>
      </c>
      <c r="BE108" s="12">
        <v>10</v>
      </c>
      <c r="BF108" s="12">
        <v>11</v>
      </c>
      <c r="BG108" s="12">
        <v>12</v>
      </c>
      <c r="BH108" s="12">
        <v>13</v>
      </c>
      <c r="BI108" s="12">
        <v>14</v>
      </c>
      <c r="BJ108" s="12">
        <v>15</v>
      </c>
      <c r="BK108" s="12">
        <v>16</v>
      </c>
      <c r="BL108" s="12">
        <v>17</v>
      </c>
      <c r="BM108" s="12">
        <v>18</v>
      </c>
      <c r="BN108" s="12">
        <v>19</v>
      </c>
      <c r="BO108" s="12">
        <v>20</v>
      </c>
    </row>
    <row r="109" spans="1:67" ht="29" x14ac:dyDescent="0.35">
      <c r="A109" s="129"/>
      <c r="C109" s="56" t="s">
        <v>152</v>
      </c>
      <c r="D109" s="52" cm="1">
        <f t="array" ref="D109:W109">years</f>
        <v>2018</v>
      </c>
      <c r="E109" s="52">
        <v>2019</v>
      </c>
      <c r="F109" s="52">
        <v>2020</v>
      </c>
      <c r="G109" s="52">
        <v>2021</v>
      </c>
      <c r="H109" s="52">
        <v>2022</v>
      </c>
      <c r="I109" s="52">
        <v>2023</v>
      </c>
      <c r="J109" s="52">
        <v>2024</v>
      </c>
      <c r="K109" s="52">
        <v>2025</v>
      </c>
      <c r="L109" s="52">
        <v>2026</v>
      </c>
      <c r="M109" s="52">
        <v>2027</v>
      </c>
      <c r="N109" s="52">
        <v>2028</v>
      </c>
      <c r="O109" s="52">
        <v>2029</v>
      </c>
      <c r="P109" s="52">
        <v>2030</v>
      </c>
      <c r="Q109" s="52">
        <v>2031</v>
      </c>
      <c r="R109" s="52">
        <v>2032</v>
      </c>
      <c r="S109" s="52">
        <v>2033</v>
      </c>
      <c r="T109" s="52">
        <v>2034</v>
      </c>
      <c r="U109" s="52">
        <v>2035</v>
      </c>
      <c r="V109" s="52">
        <v>2036</v>
      </c>
      <c r="W109" s="52">
        <v>2037</v>
      </c>
      <c r="Z109" s="229" cm="1">
        <f t="array" ref="Z109:AS109">years</f>
        <v>2018</v>
      </c>
      <c r="AA109" s="53">
        <v>2019</v>
      </c>
      <c r="AB109" s="52">
        <v>2020</v>
      </c>
      <c r="AC109" s="52">
        <v>2021</v>
      </c>
      <c r="AD109" s="52">
        <v>2022</v>
      </c>
      <c r="AE109" s="52">
        <v>2023</v>
      </c>
      <c r="AF109" s="52">
        <v>2024</v>
      </c>
      <c r="AG109" s="52">
        <v>2025</v>
      </c>
      <c r="AH109" s="52">
        <v>2026</v>
      </c>
      <c r="AI109" s="52">
        <v>2027</v>
      </c>
      <c r="AJ109" s="52">
        <v>2028</v>
      </c>
      <c r="AK109" s="52">
        <v>2029</v>
      </c>
      <c r="AL109" s="52">
        <v>2030</v>
      </c>
      <c r="AM109" s="52">
        <v>2031</v>
      </c>
      <c r="AN109" s="52">
        <v>2032</v>
      </c>
      <c r="AO109" s="52">
        <v>2033</v>
      </c>
      <c r="AP109" s="52">
        <v>2034</v>
      </c>
      <c r="AQ109" s="52">
        <v>2035</v>
      </c>
      <c r="AR109" s="52">
        <v>2036</v>
      </c>
      <c r="AS109" s="52">
        <v>2037</v>
      </c>
      <c r="AV109" s="198" cm="1">
        <f t="array" ref="AV109:BO109">years</f>
        <v>2018</v>
      </c>
      <c r="AW109" s="198">
        <v>2019</v>
      </c>
      <c r="AX109" s="198">
        <v>2020</v>
      </c>
      <c r="AY109" s="198">
        <v>2021</v>
      </c>
      <c r="AZ109" s="198">
        <v>2022</v>
      </c>
      <c r="BA109" s="198">
        <v>2023</v>
      </c>
      <c r="BB109" s="198">
        <v>2024</v>
      </c>
      <c r="BC109" s="198">
        <v>2025</v>
      </c>
      <c r="BD109" s="198">
        <v>2026</v>
      </c>
      <c r="BE109" s="198">
        <v>2027</v>
      </c>
      <c r="BF109" s="198">
        <v>2028</v>
      </c>
      <c r="BG109" s="198">
        <v>2029</v>
      </c>
      <c r="BH109" s="198">
        <v>2030</v>
      </c>
      <c r="BI109" s="198">
        <v>2031</v>
      </c>
      <c r="BJ109" s="198">
        <v>2032</v>
      </c>
      <c r="BK109" s="198">
        <v>2033</v>
      </c>
      <c r="BL109" s="198">
        <v>2034</v>
      </c>
      <c r="BM109" s="198">
        <v>2035</v>
      </c>
      <c r="BN109" s="198">
        <v>2036</v>
      </c>
      <c r="BO109" s="198">
        <v>2037</v>
      </c>
    </row>
    <row r="110" spans="1:67" x14ac:dyDescent="0.35">
      <c r="A110" s="7" t="str" cm="1">
        <f t="array" ref="A110:A125">core_elements</f>
        <v>Application server hardware</v>
      </c>
      <c r="C110" s="9">
        <v>8</v>
      </c>
      <c r="D110" s="26">
        <f>D16</f>
        <v>2</v>
      </c>
      <c r="E110" s="26">
        <f>D87+E43</f>
        <v>2</v>
      </c>
      <c r="F110" s="26">
        <f>E87+F43</f>
        <v>2</v>
      </c>
      <c r="G110" s="26">
        <f t="shared" ref="F110:W124" si="89">F87+G43</f>
        <v>2</v>
      </c>
      <c r="H110" s="26">
        <f t="shared" si="89"/>
        <v>2</v>
      </c>
      <c r="I110" s="26">
        <f t="shared" si="89"/>
        <v>2</v>
      </c>
      <c r="J110" s="26">
        <f t="shared" si="89"/>
        <v>2</v>
      </c>
      <c r="K110" s="26">
        <f t="shared" si="89"/>
        <v>2</v>
      </c>
      <c r="L110" s="26">
        <f t="shared" si="89"/>
        <v>2</v>
      </c>
      <c r="M110" s="26">
        <f t="shared" si="89"/>
        <v>2</v>
      </c>
      <c r="N110" s="26">
        <f t="shared" si="89"/>
        <v>2</v>
      </c>
      <c r="O110" s="26">
        <f t="shared" si="89"/>
        <v>2</v>
      </c>
      <c r="P110" s="26">
        <f t="shared" si="89"/>
        <v>2</v>
      </c>
      <c r="Q110" s="26">
        <f t="shared" si="89"/>
        <v>2</v>
      </c>
      <c r="R110" s="26">
        <f t="shared" si="89"/>
        <v>2</v>
      </c>
      <c r="S110" s="26">
        <f t="shared" si="89"/>
        <v>2</v>
      </c>
      <c r="T110" s="26">
        <f t="shared" si="89"/>
        <v>2</v>
      </c>
      <c r="U110" s="26">
        <f t="shared" si="89"/>
        <v>2</v>
      </c>
      <c r="V110" s="26">
        <f t="shared" si="89"/>
        <v>2</v>
      </c>
      <c r="W110" s="26">
        <f t="shared" si="89"/>
        <v>2</v>
      </c>
      <c r="Z110" s="26">
        <f>Z16</f>
        <v>2</v>
      </c>
      <c r="AA110" s="26">
        <f t="shared" ref="AA110:AP124" si="90">Z87+AA43</f>
        <v>2</v>
      </c>
      <c r="AB110" s="26">
        <f t="shared" si="90"/>
        <v>2</v>
      </c>
      <c r="AC110" s="26">
        <f t="shared" si="90"/>
        <v>2</v>
      </c>
      <c r="AD110" s="26">
        <f t="shared" si="90"/>
        <v>2</v>
      </c>
      <c r="AE110" s="26">
        <f t="shared" si="90"/>
        <v>2</v>
      </c>
      <c r="AF110" s="26">
        <f t="shared" si="90"/>
        <v>2</v>
      </c>
      <c r="AG110" s="26">
        <f t="shared" si="90"/>
        <v>2</v>
      </c>
      <c r="AH110" s="26">
        <f t="shared" si="90"/>
        <v>2</v>
      </c>
      <c r="AI110" s="26">
        <f t="shared" si="90"/>
        <v>2</v>
      </c>
      <c r="AJ110" s="26">
        <f t="shared" si="90"/>
        <v>2</v>
      </c>
      <c r="AK110" s="26">
        <f t="shared" si="90"/>
        <v>2</v>
      </c>
      <c r="AL110" s="26">
        <f t="shared" si="90"/>
        <v>2</v>
      </c>
      <c r="AM110" s="26">
        <f t="shared" si="90"/>
        <v>2</v>
      </c>
      <c r="AN110" s="26">
        <f t="shared" si="90"/>
        <v>2</v>
      </c>
      <c r="AO110" s="26">
        <f t="shared" si="90"/>
        <v>2</v>
      </c>
      <c r="AP110" s="26">
        <f t="shared" si="90"/>
        <v>2</v>
      </c>
      <c r="AQ110" s="26">
        <f t="shared" ref="AB110:AS124" si="91">AP87+AQ43</f>
        <v>2</v>
      </c>
      <c r="AR110" s="26">
        <f t="shared" si="91"/>
        <v>2</v>
      </c>
      <c r="AS110" s="26">
        <f t="shared" si="91"/>
        <v>2</v>
      </c>
      <c r="AV110" s="16">
        <f>D110-Z110</f>
        <v>0</v>
      </c>
      <c r="AW110" s="16">
        <f t="shared" ref="AW110:BO123" si="92">E110-AA110</f>
        <v>0</v>
      </c>
      <c r="AX110" s="16">
        <f t="shared" si="92"/>
        <v>0</v>
      </c>
      <c r="AY110" s="16">
        <f t="shared" si="92"/>
        <v>0</v>
      </c>
      <c r="AZ110" s="16">
        <f t="shared" si="92"/>
        <v>0</v>
      </c>
      <c r="BA110" s="16">
        <f t="shared" si="92"/>
        <v>0</v>
      </c>
      <c r="BB110" s="16">
        <f t="shared" si="92"/>
        <v>0</v>
      </c>
      <c r="BC110" s="16">
        <f t="shared" si="92"/>
        <v>0</v>
      </c>
      <c r="BD110" s="16">
        <f t="shared" si="92"/>
        <v>0</v>
      </c>
      <c r="BE110" s="16">
        <f t="shared" si="92"/>
        <v>0</v>
      </c>
      <c r="BF110" s="16">
        <f t="shared" si="92"/>
        <v>0</v>
      </c>
      <c r="BG110" s="16">
        <f t="shared" si="92"/>
        <v>0</v>
      </c>
      <c r="BH110" s="16">
        <f t="shared" si="92"/>
        <v>0</v>
      </c>
      <c r="BI110" s="16">
        <f t="shared" si="92"/>
        <v>0</v>
      </c>
      <c r="BJ110" s="16">
        <f t="shared" si="92"/>
        <v>0</v>
      </c>
      <c r="BK110" s="16">
        <f t="shared" si="92"/>
        <v>0</v>
      </c>
      <c r="BL110" s="16">
        <f t="shared" si="92"/>
        <v>0</v>
      </c>
      <c r="BM110" s="16">
        <f t="shared" si="92"/>
        <v>0</v>
      </c>
      <c r="BN110" s="16">
        <f t="shared" si="92"/>
        <v>0</v>
      </c>
      <c r="BO110" s="16">
        <f t="shared" si="92"/>
        <v>0</v>
      </c>
    </row>
    <row r="111" spans="1:67" x14ac:dyDescent="0.35">
      <c r="A111" s="7" t="str">
        <v>Application server software</v>
      </c>
      <c r="C111" s="9">
        <v>8</v>
      </c>
      <c r="D111" s="26">
        <f t="shared" ref="D111:D125" si="93">D17</f>
        <v>2</v>
      </c>
      <c r="E111" s="26">
        <f t="shared" ref="E111:T125" si="94">D88+E44</f>
        <v>2</v>
      </c>
      <c r="F111" s="26">
        <f t="shared" si="94"/>
        <v>2</v>
      </c>
      <c r="G111" s="26">
        <f t="shared" si="94"/>
        <v>2</v>
      </c>
      <c r="H111" s="26">
        <f t="shared" si="94"/>
        <v>2</v>
      </c>
      <c r="I111" s="26">
        <f t="shared" si="94"/>
        <v>2</v>
      </c>
      <c r="J111" s="26">
        <f t="shared" si="94"/>
        <v>2</v>
      </c>
      <c r="K111" s="26">
        <f t="shared" si="94"/>
        <v>2</v>
      </c>
      <c r="L111" s="26">
        <f t="shared" si="94"/>
        <v>2</v>
      </c>
      <c r="M111" s="26">
        <f t="shared" si="94"/>
        <v>2</v>
      </c>
      <c r="N111" s="26">
        <f t="shared" si="94"/>
        <v>2</v>
      </c>
      <c r="O111" s="26">
        <f t="shared" si="94"/>
        <v>2</v>
      </c>
      <c r="P111" s="26">
        <f t="shared" si="94"/>
        <v>2</v>
      </c>
      <c r="Q111" s="26">
        <f t="shared" si="94"/>
        <v>2</v>
      </c>
      <c r="R111" s="26">
        <f t="shared" si="94"/>
        <v>2</v>
      </c>
      <c r="S111" s="26">
        <f t="shared" si="94"/>
        <v>2</v>
      </c>
      <c r="T111" s="26">
        <f t="shared" si="94"/>
        <v>2</v>
      </c>
      <c r="U111" s="26">
        <f t="shared" si="89"/>
        <v>2</v>
      </c>
      <c r="V111" s="26">
        <f t="shared" si="89"/>
        <v>2</v>
      </c>
      <c r="W111" s="26">
        <f t="shared" si="89"/>
        <v>2</v>
      </c>
      <c r="Z111" s="26">
        <f t="shared" ref="Z111:Z125" si="95">Z17</f>
        <v>2</v>
      </c>
      <c r="AA111" s="26">
        <f t="shared" si="90"/>
        <v>2</v>
      </c>
      <c r="AB111" s="26">
        <f t="shared" si="91"/>
        <v>2</v>
      </c>
      <c r="AC111" s="26">
        <f t="shared" si="91"/>
        <v>2</v>
      </c>
      <c r="AD111" s="26">
        <f t="shared" si="91"/>
        <v>2</v>
      </c>
      <c r="AE111" s="26">
        <f t="shared" si="91"/>
        <v>2</v>
      </c>
      <c r="AF111" s="26">
        <f t="shared" si="91"/>
        <v>2</v>
      </c>
      <c r="AG111" s="26">
        <f t="shared" si="91"/>
        <v>2</v>
      </c>
      <c r="AH111" s="26">
        <f t="shared" si="91"/>
        <v>2</v>
      </c>
      <c r="AI111" s="26">
        <f t="shared" si="91"/>
        <v>2</v>
      </c>
      <c r="AJ111" s="26">
        <f t="shared" si="91"/>
        <v>2</v>
      </c>
      <c r="AK111" s="26">
        <f t="shared" si="91"/>
        <v>2</v>
      </c>
      <c r="AL111" s="26">
        <f t="shared" si="91"/>
        <v>2</v>
      </c>
      <c r="AM111" s="26">
        <f t="shared" si="91"/>
        <v>2</v>
      </c>
      <c r="AN111" s="26">
        <f t="shared" si="91"/>
        <v>2</v>
      </c>
      <c r="AO111" s="26">
        <f t="shared" si="91"/>
        <v>2</v>
      </c>
      <c r="AP111" s="26">
        <f t="shared" si="91"/>
        <v>2</v>
      </c>
      <c r="AQ111" s="26">
        <f t="shared" si="91"/>
        <v>2</v>
      </c>
      <c r="AR111" s="26">
        <f t="shared" si="91"/>
        <v>2</v>
      </c>
      <c r="AS111" s="26">
        <f t="shared" si="91"/>
        <v>2</v>
      </c>
      <c r="AV111" s="16">
        <f t="shared" ref="AV111:AV125" si="96">D111-Z111</f>
        <v>0</v>
      </c>
      <c r="AW111" s="16">
        <f t="shared" si="92"/>
        <v>0</v>
      </c>
      <c r="AX111" s="16">
        <f t="shared" si="92"/>
        <v>0</v>
      </c>
      <c r="AY111" s="16">
        <f t="shared" si="92"/>
        <v>0</v>
      </c>
      <c r="AZ111" s="16">
        <f t="shared" si="92"/>
        <v>0</v>
      </c>
      <c r="BA111" s="16">
        <f t="shared" si="92"/>
        <v>0</v>
      </c>
      <c r="BB111" s="16">
        <f t="shared" si="92"/>
        <v>0</v>
      </c>
      <c r="BC111" s="16">
        <f t="shared" si="92"/>
        <v>0</v>
      </c>
      <c r="BD111" s="16">
        <f t="shared" si="92"/>
        <v>0</v>
      </c>
      <c r="BE111" s="16">
        <f t="shared" si="92"/>
        <v>0</v>
      </c>
      <c r="BF111" s="16">
        <f t="shared" si="92"/>
        <v>0</v>
      </c>
      <c r="BG111" s="16">
        <f t="shared" si="92"/>
        <v>0</v>
      </c>
      <c r="BH111" s="16">
        <f t="shared" si="92"/>
        <v>0</v>
      </c>
      <c r="BI111" s="16">
        <f t="shared" si="92"/>
        <v>0</v>
      </c>
      <c r="BJ111" s="16">
        <f t="shared" si="92"/>
        <v>0</v>
      </c>
      <c r="BK111" s="16">
        <f t="shared" si="92"/>
        <v>0</v>
      </c>
      <c r="BL111" s="16">
        <f t="shared" si="92"/>
        <v>0</v>
      </c>
      <c r="BM111" s="16">
        <f t="shared" si="92"/>
        <v>0</v>
      </c>
      <c r="BN111" s="16">
        <f t="shared" si="92"/>
        <v>0</v>
      </c>
      <c r="BO111" s="16">
        <f t="shared" si="92"/>
        <v>0</v>
      </c>
    </row>
    <row r="112" spans="1:67" x14ac:dyDescent="0.35">
      <c r="A112" s="7" t="str">
        <v>Charging data function hardware</v>
      </c>
      <c r="C112" s="9">
        <v>8</v>
      </c>
      <c r="D112" s="26">
        <f t="shared" si="93"/>
        <v>2</v>
      </c>
      <c r="E112" s="26">
        <f t="shared" si="94"/>
        <v>2</v>
      </c>
      <c r="F112" s="26">
        <f t="shared" si="89"/>
        <v>2</v>
      </c>
      <c r="G112" s="26">
        <f t="shared" si="89"/>
        <v>2</v>
      </c>
      <c r="H112" s="26">
        <f t="shared" si="89"/>
        <v>2</v>
      </c>
      <c r="I112" s="26">
        <f t="shared" si="89"/>
        <v>2</v>
      </c>
      <c r="J112" s="26">
        <f t="shared" si="89"/>
        <v>2</v>
      </c>
      <c r="K112" s="26">
        <f t="shared" si="89"/>
        <v>2</v>
      </c>
      <c r="L112" s="26">
        <f t="shared" si="89"/>
        <v>2</v>
      </c>
      <c r="M112" s="26">
        <f t="shared" si="89"/>
        <v>2</v>
      </c>
      <c r="N112" s="26">
        <f t="shared" si="89"/>
        <v>2</v>
      </c>
      <c r="O112" s="26">
        <f t="shared" si="89"/>
        <v>2</v>
      </c>
      <c r="P112" s="26">
        <f t="shared" si="89"/>
        <v>2</v>
      </c>
      <c r="Q112" s="26">
        <f t="shared" si="89"/>
        <v>2</v>
      </c>
      <c r="R112" s="26">
        <f t="shared" si="89"/>
        <v>2</v>
      </c>
      <c r="S112" s="26">
        <f t="shared" si="89"/>
        <v>2</v>
      </c>
      <c r="T112" s="26">
        <f t="shared" si="89"/>
        <v>2</v>
      </c>
      <c r="U112" s="26">
        <f t="shared" si="89"/>
        <v>2</v>
      </c>
      <c r="V112" s="26">
        <f t="shared" si="89"/>
        <v>2</v>
      </c>
      <c r="W112" s="26">
        <f t="shared" si="89"/>
        <v>2</v>
      </c>
      <c r="Z112" s="26">
        <f t="shared" si="95"/>
        <v>2</v>
      </c>
      <c r="AA112" s="26">
        <f t="shared" si="90"/>
        <v>2</v>
      </c>
      <c r="AB112" s="26">
        <f t="shared" si="91"/>
        <v>2</v>
      </c>
      <c r="AC112" s="26">
        <f t="shared" si="91"/>
        <v>2</v>
      </c>
      <c r="AD112" s="26">
        <f t="shared" si="91"/>
        <v>2</v>
      </c>
      <c r="AE112" s="26">
        <f t="shared" si="91"/>
        <v>2</v>
      </c>
      <c r="AF112" s="26">
        <f t="shared" si="91"/>
        <v>2</v>
      </c>
      <c r="AG112" s="26">
        <f t="shared" si="91"/>
        <v>2</v>
      </c>
      <c r="AH112" s="26">
        <f t="shared" si="91"/>
        <v>2</v>
      </c>
      <c r="AI112" s="26">
        <f t="shared" si="91"/>
        <v>2</v>
      </c>
      <c r="AJ112" s="26">
        <f t="shared" si="91"/>
        <v>2</v>
      </c>
      <c r="AK112" s="26">
        <f t="shared" si="91"/>
        <v>2</v>
      </c>
      <c r="AL112" s="26">
        <f t="shared" si="91"/>
        <v>2</v>
      </c>
      <c r="AM112" s="26">
        <f t="shared" si="91"/>
        <v>2</v>
      </c>
      <c r="AN112" s="26">
        <f t="shared" si="91"/>
        <v>2</v>
      </c>
      <c r="AO112" s="26">
        <f t="shared" si="91"/>
        <v>2</v>
      </c>
      <c r="AP112" s="26">
        <f t="shared" si="91"/>
        <v>2</v>
      </c>
      <c r="AQ112" s="26">
        <f t="shared" si="91"/>
        <v>2</v>
      </c>
      <c r="AR112" s="26">
        <f t="shared" si="91"/>
        <v>2</v>
      </c>
      <c r="AS112" s="26">
        <f t="shared" si="91"/>
        <v>2</v>
      </c>
      <c r="AV112" s="16">
        <f t="shared" si="96"/>
        <v>0</v>
      </c>
      <c r="AW112" s="16">
        <f t="shared" si="92"/>
        <v>0</v>
      </c>
      <c r="AX112" s="16">
        <f t="shared" si="92"/>
        <v>0</v>
      </c>
      <c r="AY112" s="16">
        <f t="shared" si="92"/>
        <v>0</v>
      </c>
      <c r="AZ112" s="16">
        <f t="shared" si="92"/>
        <v>0</v>
      </c>
      <c r="BA112" s="16">
        <f t="shared" si="92"/>
        <v>0</v>
      </c>
      <c r="BB112" s="16">
        <f t="shared" si="92"/>
        <v>0</v>
      </c>
      <c r="BC112" s="16">
        <f t="shared" si="92"/>
        <v>0</v>
      </c>
      <c r="BD112" s="16">
        <f t="shared" si="92"/>
        <v>0</v>
      </c>
      <c r="BE112" s="16">
        <f t="shared" si="92"/>
        <v>0</v>
      </c>
      <c r="BF112" s="16">
        <f t="shared" si="92"/>
        <v>0</v>
      </c>
      <c r="BG112" s="16">
        <f t="shared" si="92"/>
        <v>0</v>
      </c>
      <c r="BH112" s="16">
        <f t="shared" si="92"/>
        <v>0</v>
      </c>
      <c r="BI112" s="16">
        <f t="shared" si="92"/>
        <v>0</v>
      </c>
      <c r="BJ112" s="16">
        <f t="shared" si="92"/>
        <v>0</v>
      </c>
      <c r="BK112" s="16">
        <f t="shared" si="92"/>
        <v>0</v>
      </c>
      <c r="BL112" s="16">
        <f t="shared" si="92"/>
        <v>0</v>
      </c>
      <c r="BM112" s="16">
        <f t="shared" si="92"/>
        <v>0</v>
      </c>
      <c r="BN112" s="16">
        <f t="shared" si="92"/>
        <v>0</v>
      </c>
      <c r="BO112" s="16">
        <f t="shared" si="92"/>
        <v>0</v>
      </c>
    </row>
    <row r="113" spans="1:68" x14ac:dyDescent="0.35">
      <c r="A113" s="7" t="str">
        <v>Charging data function software</v>
      </c>
      <c r="C113" s="9">
        <v>8</v>
      </c>
      <c r="D113" s="26">
        <f t="shared" si="93"/>
        <v>168</v>
      </c>
      <c r="E113" s="26">
        <f t="shared" si="94"/>
        <v>168</v>
      </c>
      <c r="F113" s="26">
        <f t="shared" si="89"/>
        <v>168</v>
      </c>
      <c r="G113" s="26">
        <f t="shared" si="89"/>
        <v>168</v>
      </c>
      <c r="H113" s="26">
        <f t="shared" si="89"/>
        <v>168</v>
      </c>
      <c r="I113" s="26">
        <f t="shared" si="89"/>
        <v>168</v>
      </c>
      <c r="J113" s="26">
        <f t="shared" si="89"/>
        <v>168</v>
      </c>
      <c r="K113" s="26">
        <f t="shared" si="89"/>
        <v>168</v>
      </c>
      <c r="L113" s="26">
        <f t="shared" si="89"/>
        <v>74</v>
      </c>
      <c r="M113" s="26">
        <f t="shared" si="89"/>
        <v>74</v>
      </c>
      <c r="N113" s="26">
        <f t="shared" si="89"/>
        <v>74</v>
      </c>
      <c r="O113" s="26">
        <f t="shared" si="89"/>
        <v>74</v>
      </c>
      <c r="P113" s="26">
        <f t="shared" si="89"/>
        <v>74</v>
      </c>
      <c r="Q113" s="26">
        <f t="shared" si="89"/>
        <v>74</v>
      </c>
      <c r="R113" s="26">
        <f t="shared" si="89"/>
        <v>74</v>
      </c>
      <c r="S113" s="26">
        <f t="shared" si="89"/>
        <v>74</v>
      </c>
      <c r="T113" s="26">
        <f t="shared" si="89"/>
        <v>34</v>
      </c>
      <c r="U113" s="26">
        <f t="shared" si="89"/>
        <v>34</v>
      </c>
      <c r="V113" s="26">
        <f t="shared" si="89"/>
        <v>34</v>
      </c>
      <c r="W113" s="26">
        <f t="shared" si="89"/>
        <v>34</v>
      </c>
      <c r="Z113" s="26">
        <f t="shared" si="95"/>
        <v>124</v>
      </c>
      <c r="AA113" s="26">
        <f t="shared" si="90"/>
        <v>124</v>
      </c>
      <c r="AB113" s="26">
        <f t="shared" si="91"/>
        <v>124</v>
      </c>
      <c r="AC113" s="26">
        <f t="shared" si="91"/>
        <v>124</v>
      </c>
      <c r="AD113" s="26">
        <f t="shared" si="91"/>
        <v>124</v>
      </c>
      <c r="AE113" s="26">
        <f t="shared" si="91"/>
        <v>124</v>
      </c>
      <c r="AF113" s="26">
        <f t="shared" si="91"/>
        <v>124</v>
      </c>
      <c r="AG113" s="26">
        <f t="shared" si="91"/>
        <v>124</v>
      </c>
      <c r="AH113" s="26">
        <f t="shared" si="91"/>
        <v>52</v>
      </c>
      <c r="AI113" s="26">
        <f t="shared" si="91"/>
        <v>52</v>
      </c>
      <c r="AJ113" s="26">
        <f t="shared" si="91"/>
        <v>52</v>
      </c>
      <c r="AK113" s="26">
        <f t="shared" si="91"/>
        <v>52</v>
      </c>
      <c r="AL113" s="26">
        <f t="shared" si="91"/>
        <v>52</v>
      </c>
      <c r="AM113" s="26">
        <f t="shared" si="91"/>
        <v>52</v>
      </c>
      <c r="AN113" s="26">
        <f t="shared" si="91"/>
        <v>52</v>
      </c>
      <c r="AO113" s="26">
        <f t="shared" si="91"/>
        <v>52</v>
      </c>
      <c r="AP113" s="26">
        <f t="shared" si="91"/>
        <v>24</v>
      </c>
      <c r="AQ113" s="26">
        <f t="shared" si="91"/>
        <v>24</v>
      </c>
      <c r="AR113" s="26">
        <f t="shared" si="91"/>
        <v>24</v>
      </c>
      <c r="AS113" s="26">
        <f t="shared" si="91"/>
        <v>24</v>
      </c>
      <c r="AV113" s="16">
        <f t="shared" si="96"/>
        <v>44</v>
      </c>
      <c r="AW113" s="16">
        <f t="shared" si="92"/>
        <v>44</v>
      </c>
      <c r="AX113" s="16">
        <f t="shared" si="92"/>
        <v>44</v>
      </c>
      <c r="AY113" s="16">
        <f t="shared" si="92"/>
        <v>44</v>
      </c>
      <c r="AZ113" s="16">
        <f t="shared" si="92"/>
        <v>44</v>
      </c>
      <c r="BA113" s="16">
        <f t="shared" si="92"/>
        <v>44</v>
      </c>
      <c r="BB113" s="16">
        <f t="shared" si="92"/>
        <v>44</v>
      </c>
      <c r="BC113" s="16">
        <f t="shared" si="92"/>
        <v>44</v>
      </c>
      <c r="BD113" s="16">
        <f t="shared" si="92"/>
        <v>22</v>
      </c>
      <c r="BE113" s="16">
        <f t="shared" si="92"/>
        <v>22</v>
      </c>
      <c r="BF113" s="16">
        <f t="shared" si="92"/>
        <v>22</v>
      </c>
      <c r="BG113" s="16">
        <f t="shared" si="92"/>
        <v>22</v>
      </c>
      <c r="BH113" s="16">
        <f t="shared" si="92"/>
        <v>22</v>
      </c>
      <c r="BI113" s="16">
        <f t="shared" si="92"/>
        <v>22</v>
      </c>
      <c r="BJ113" s="16">
        <f t="shared" si="92"/>
        <v>22</v>
      </c>
      <c r="BK113" s="16">
        <f t="shared" si="92"/>
        <v>22</v>
      </c>
      <c r="BL113" s="16">
        <f t="shared" si="92"/>
        <v>10</v>
      </c>
      <c r="BM113" s="16">
        <f t="shared" si="92"/>
        <v>10</v>
      </c>
      <c r="BN113" s="16">
        <f t="shared" si="92"/>
        <v>10</v>
      </c>
      <c r="BO113" s="16">
        <f t="shared" si="92"/>
        <v>10</v>
      </c>
    </row>
    <row r="114" spans="1:68" x14ac:dyDescent="0.35">
      <c r="A114" s="7" t="str">
        <v>Proxy - Call session control function hardware</v>
      </c>
      <c r="C114" s="9">
        <v>8</v>
      </c>
      <c r="D114" s="26">
        <f t="shared" si="93"/>
        <v>2</v>
      </c>
      <c r="E114" s="26">
        <f t="shared" si="94"/>
        <v>2</v>
      </c>
      <c r="F114" s="26">
        <f t="shared" si="89"/>
        <v>2</v>
      </c>
      <c r="G114" s="26">
        <f t="shared" si="89"/>
        <v>2</v>
      </c>
      <c r="H114" s="26">
        <f t="shared" si="89"/>
        <v>2</v>
      </c>
      <c r="I114" s="26">
        <f t="shared" si="89"/>
        <v>2</v>
      </c>
      <c r="J114" s="26">
        <f t="shared" si="89"/>
        <v>2</v>
      </c>
      <c r="K114" s="26">
        <f t="shared" si="89"/>
        <v>2</v>
      </c>
      <c r="L114" s="26">
        <f t="shared" si="89"/>
        <v>2</v>
      </c>
      <c r="M114" s="26">
        <f t="shared" si="89"/>
        <v>2</v>
      </c>
      <c r="N114" s="26">
        <f t="shared" si="89"/>
        <v>2</v>
      </c>
      <c r="O114" s="26">
        <f t="shared" si="89"/>
        <v>2</v>
      </c>
      <c r="P114" s="26">
        <f t="shared" si="89"/>
        <v>2</v>
      </c>
      <c r="Q114" s="26">
        <f t="shared" si="89"/>
        <v>2</v>
      </c>
      <c r="R114" s="26">
        <f t="shared" si="89"/>
        <v>2</v>
      </c>
      <c r="S114" s="26">
        <f t="shared" si="89"/>
        <v>2</v>
      </c>
      <c r="T114" s="26">
        <f t="shared" si="89"/>
        <v>2</v>
      </c>
      <c r="U114" s="26">
        <f t="shared" si="89"/>
        <v>2</v>
      </c>
      <c r="V114" s="26">
        <f t="shared" si="89"/>
        <v>2</v>
      </c>
      <c r="W114" s="26">
        <f t="shared" si="89"/>
        <v>2</v>
      </c>
      <c r="Z114" s="26">
        <f t="shared" si="95"/>
        <v>2</v>
      </c>
      <c r="AA114" s="26">
        <f t="shared" si="90"/>
        <v>2</v>
      </c>
      <c r="AB114" s="26">
        <f t="shared" si="91"/>
        <v>2</v>
      </c>
      <c r="AC114" s="26">
        <f t="shared" si="91"/>
        <v>2</v>
      </c>
      <c r="AD114" s="26">
        <f t="shared" si="91"/>
        <v>2</v>
      </c>
      <c r="AE114" s="26">
        <f t="shared" si="91"/>
        <v>2</v>
      </c>
      <c r="AF114" s="26">
        <f t="shared" si="91"/>
        <v>2</v>
      </c>
      <c r="AG114" s="26">
        <f t="shared" si="91"/>
        <v>2</v>
      </c>
      <c r="AH114" s="26">
        <f t="shared" si="91"/>
        <v>2</v>
      </c>
      <c r="AI114" s="26">
        <f t="shared" si="91"/>
        <v>2</v>
      </c>
      <c r="AJ114" s="26">
        <f t="shared" si="91"/>
        <v>2</v>
      </c>
      <c r="AK114" s="26">
        <f t="shared" si="91"/>
        <v>2</v>
      </c>
      <c r="AL114" s="26">
        <f t="shared" si="91"/>
        <v>2</v>
      </c>
      <c r="AM114" s="26">
        <f t="shared" si="91"/>
        <v>2</v>
      </c>
      <c r="AN114" s="26">
        <f t="shared" si="91"/>
        <v>2</v>
      </c>
      <c r="AO114" s="26">
        <f t="shared" si="91"/>
        <v>2</v>
      </c>
      <c r="AP114" s="26">
        <f t="shared" si="91"/>
        <v>2</v>
      </c>
      <c r="AQ114" s="26">
        <f t="shared" si="91"/>
        <v>2</v>
      </c>
      <c r="AR114" s="26">
        <f t="shared" si="91"/>
        <v>2</v>
      </c>
      <c r="AS114" s="26">
        <f t="shared" si="91"/>
        <v>2</v>
      </c>
      <c r="AV114" s="16">
        <f t="shared" si="96"/>
        <v>0</v>
      </c>
      <c r="AW114" s="16">
        <f t="shared" si="92"/>
        <v>0</v>
      </c>
      <c r="AX114" s="16">
        <f t="shared" si="92"/>
        <v>0</v>
      </c>
      <c r="AY114" s="16">
        <f t="shared" si="92"/>
        <v>0</v>
      </c>
      <c r="AZ114" s="16">
        <f t="shared" si="92"/>
        <v>0</v>
      </c>
      <c r="BA114" s="16">
        <f t="shared" si="92"/>
        <v>0</v>
      </c>
      <c r="BB114" s="16">
        <f t="shared" si="92"/>
        <v>0</v>
      </c>
      <c r="BC114" s="16">
        <f t="shared" si="92"/>
        <v>0</v>
      </c>
      <c r="BD114" s="16">
        <f t="shared" si="92"/>
        <v>0</v>
      </c>
      <c r="BE114" s="16">
        <f t="shared" si="92"/>
        <v>0</v>
      </c>
      <c r="BF114" s="16">
        <f t="shared" si="92"/>
        <v>0</v>
      </c>
      <c r="BG114" s="16">
        <f t="shared" si="92"/>
        <v>0</v>
      </c>
      <c r="BH114" s="16">
        <f t="shared" si="92"/>
        <v>0</v>
      </c>
      <c r="BI114" s="16">
        <f t="shared" si="92"/>
        <v>0</v>
      </c>
      <c r="BJ114" s="16">
        <f t="shared" si="92"/>
        <v>0</v>
      </c>
      <c r="BK114" s="16">
        <f t="shared" si="92"/>
        <v>0</v>
      </c>
      <c r="BL114" s="16">
        <f t="shared" si="92"/>
        <v>0</v>
      </c>
      <c r="BM114" s="16">
        <f t="shared" si="92"/>
        <v>0</v>
      </c>
      <c r="BN114" s="16">
        <f t="shared" si="92"/>
        <v>0</v>
      </c>
      <c r="BO114" s="16">
        <f t="shared" si="92"/>
        <v>0</v>
      </c>
    </row>
    <row r="115" spans="1:68" x14ac:dyDescent="0.35">
      <c r="A115" s="7" t="str">
        <v>Proxy - Call session control function software</v>
      </c>
      <c r="C115" s="9">
        <v>8</v>
      </c>
      <c r="D115" s="26">
        <f t="shared" si="93"/>
        <v>1714</v>
      </c>
      <c r="E115" s="26">
        <f t="shared" si="94"/>
        <v>1714</v>
      </c>
      <c r="F115" s="26">
        <f t="shared" si="89"/>
        <v>1714</v>
      </c>
      <c r="G115" s="26">
        <f t="shared" si="89"/>
        <v>1714</v>
      </c>
      <c r="H115" s="26">
        <f t="shared" si="89"/>
        <v>1714</v>
      </c>
      <c r="I115" s="26">
        <f t="shared" si="89"/>
        <v>1714</v>
      </c>
      <c r="J115" s="26">
        <f t="shared" si="89"/>
        <v>1714</v>
      </c>
      <c r="K115" s="26">
        <f t="shared" si="89"/>
        <v>1714</v>
      </c>
      <c r="L115" s="26">
        <f t="shared" si="89"/>
        <v>758</v>
      </c>
      <c r="M115" s="26">
        <f t="shared" si="89"/>
        <v>758</v>
      </c>
      <c r="N115" s="26">
        <f t="shared" si="89"/>
        <v>758</v>
      </c>
      <c r="O115" s="26">
        <f t="shared" si="89"/>
        <v>758</v>
      </c>
      <c r="P115" s="26">
        <f t="shared" si="89"/>
        <v>758</v>
      </c>
      <c r="Q115" s="26">
        <f t="shared" si="89"/>
        <v>758</v>
      </c>
      <c r="R115" s="26">
        <f t="shared" si="89"/>
        <v>758</v>
      </c>
      <c r="S115" s="26">
        <f t="shared" si="89"/>
        <v>758</v>
      </c>
      <c r="T115" s="26">
        <f t="shared" si="89"/>
        <v>340</v>
      </c>
      <c r="U115" s="26">
        <f t="shared" si="89"/>
        <v>340</v>
      </c>
      <c r="V115" s="26">
        <f t="shared" si="89"/>
        <v>340</v>
      </c>
      <c r="W115" s="26">
        <f t="shared" si="89"/>
        <v>340</v>
      </c>
      <c r="Z115" s="26">
        <f t="shared" si="95"/>
        <v>1266</v>
      </c>
      <c r="AA115" s="26">
        <f t="shared" si="90"/>
        <v>1266</v>
      </c>
      <c r="AB115" s="26">
        <f t="shared" si="91"/>
        <v>1266</v>
      </c>
      <c r="AC115" s="26">
        <f t="shared" si="91"/>
        <v>1266</v>
      </c>
      <c r="AD115" s="26">
        <f t="shared" si="91"/>
        <v>1266</v>
      </c>
      <c r="AE115" s="26">
        <f t="shared" si="91"/>
        <v>1266</v>
      </c>
      <c r="AF115" s="26">
        <f t="shared" si="91"/>
        <v>1266</v>
      </c>
      <c r="AG115" s="26">
        <f t="shared" si="91"/>
        <v>1266</v>
      </c>
      <c r="AH115" s="26">
        <f t="shared" si="91"/>
        <v>528</v>
      </c>
      <c r="AI115" s="26">
        <f t="shared" si="91"/>
        <v>528</v>
      </c>
      <c r="AJ115" s="26">
        <f t="shared" si="91"/>
        <v>528</v>
      </c>
      <c r="AK115" s="26">
        <f t="shared" si="91"/>
        <v>528</v>
      </c>
      <c r="AL115" s="26">
        <f t="shared" si="91"/>
        <v>528</v>
      </c>
      <c r="AM115" s="26">
        <f t="shared" si="91"/>
        <v>528</v>
      </c>
      <c r="AN115" s="26">
        <f t="shared" si="91"/>
        <v>528</v>
      </c>
      <c r="AO115" s="26">
        <f t="shared" si="91"/>
        <v>528</v>
      </c>
      <c r="AP115" s="26">
        <f t="shared" si="91"/>
        <v>236</v>
      </c>
      <c r="AQ115" s="26">
        <f t="shared" si="91"/>
        <v>236</v>
      </c>
      <c r="AR115" s="26">
        <f t="shared" si="91"/>
        <v>236</v>
      </c>
      <c r="AS115" s="26">
        <f t="shared" si="91"/>
        <v>236</v>
      </c>
      <c r="AV115" s="16">
        <f t="shared" si="96"/>
        <v>448</v>
      </c>
      <c r="AW115" s="16">
        <f t="shared" si="92"/>
        <v>448</v>
      </c>
      <c r="AX115" s="16">
        <f t="shared" si="92"/>
        <v>448</v>
      </c>
      <c r="AY115" s="16">
        <f t="shared" si="92"/>
        <v>448</v>
      </c>
      <c r="AZ115" s="16">
        <f t="shared" si="92"/>
        <v>448</v>
      </c>
      <c r="BA115" s="16">
        <f t="shared" si="92"/>
        <v>448</v>
      </c>
      <c r="BB115" s="16">
        <f t="shared" si="92"/>
        <v>448</v>
      </c>
      <c r="BC115" s="16">
        <f t="shared" si="92"/>
        <v>448</v>
      </c>
      <c r="BD115" s="16">
        <f t="shared" si="92"/>
        <v>230</v>
      </c>
      <c r="BE115" s="16">
        <f t="shared" si="92"/>
        <v>230</v>
      </c>
      <c r="BF115" s="16">
        <f t="shared" si="92"/>
        <v>230</v>
      </c>
      <c r="BG115" s="16">
        <f t="shared" si="92"/>
        <v>230</v>
      </c>
      <c r="BH115" s="16">
        <f t="shared" si="92"/>
        <v>230</v>
      </c>
      <c r="BI115" s="16">
        <f t="shared" si="92"/>
        <v>230</v>
      </c>
      <c r="BJ115" s="16">
        <f t="shared" si="92"/>
        <v>230</v>
      </c>
      <c r="BK115" s="16">
        <f t="shared" si="92"/>
        <v>230</v>
      </c>
      <c r="BL115" s="16">
        <f t="shared" si="92"/>
        <v>104</v>
      </c>
      <c r="BM115" s="16">
        <f t="shared" si="92"/>
        <v>104</v>
      </c>
      <c r="BN115" s="16">
        <f t="shared" si="92"/>
        <v>104</v>
      </c>
      <c r="BO115" s="16">
        <f t="shared" si="92"/>
        <v>104</v>
      </c>
    </row>
    <row r="116" spans="1:68" x14ac:dyDescent="0.35">
      <c r="A116" s="7" t="str">
        <v>Interrogating - Call session control function hardware</v>
      </c>
      <c r="C116" s="9">
        <v>8</v>
      </c>
      <c r="D116" s="26">
        <f t="shared" si="93"/>
        <v>2</v>
      </c>
      <c r="E116" s="26">
        <f t="shared" si="94"/>
        <v>2</v>
      </c>
      <c r="F116" s="26">
        <f t="shared" si="89"/>
        <v>2</v>
      </c>
      <c r="G116" s="26">
        <f t="shared" si="89"/>
        <v>2</v>
      </c>
      <c r="H116" s="26">
        <f t="shared" si="89"/>
        <v>2</v>
      </c>
      <c r="I116" s="26">
        <f t="shared" si="89"/>
        <v>2</v>
      </c>
      <c r="J116" s="26">
        <f t="shared" si="89"/>
        <v>2</v>
      </c>
      <c r="K116" s="26">
        <f t="shared" si="89"/>
        <v>2</v>
      </c>
      <c r="L116" s="26">
        <f t="shared" si="89"/>
        <v>2</v>
      </c>
      <c r="M116" s="26">
        <f t="shared" si="89"/>
        <v>2</v>
      </c>
      <c r="N116" s="26">
        <f t="shared" si="89"/>
        <v>2</v>
      </c>
      <c r="O116" s="26">
        <f t="shared" si="89"/>
        <v>2</v>
      </c>
      <c r="P116" s="26">
        <f t="shared" si="89"/>
        <v>2</v>
      </c>
      <c r="Q116" s="26">
        <f t="shared" si="89"/>
        <v>2</v>
      </c>
      <c r="R116" s="26">
        <f t="shared" si="89"/>
        <v>2</v>
      </c>
      <c r="S116" s="26">
        <f t="shared" si="89"/>
        <v>2</v>
      </c>
      <c r="T116" s="26">
        <f t="shared" si="89"/>
        <v>2</v>
      </c>
      <c r="U116" s="26">
        <f t="shared" si="89"/>
        <v>2</v>
      </c>
      <c r="V116" s="26">
        <f t="shared" si="89"/>
        <v>2</v>
      </c>
      <c r="W116" s="26">
        <f t="shared" si="89"/>
        <v>2</v>
      </c>
      <c r="Z116" s="26">
        <f t="shared" si="95"/>
        <v>2</v>
      </c>
      <c r="AA116" s="26">
        <f t="shared" si="90"/>
        <v>2</v>
      </c>
      <c r="AB116" s="26">
        <f t="shared" si="91"/>
        <v>2</v>
      </c>
      <c r="AC116" s="26">
        <f t="shared" si="91"/>
        <v>2</v>
      </c>
      <c r="AD116" s="26">
        <f t="shared" si="91"/>
        <v>2</v>
      </c>
      <c r="AE116" s="26">
        <f t="shared" si="91"/>
        <v>2</v>
      </c>
      <c r="AF116" s="26">
        <f t="shared" si="91"/>
        <v>2</v>
      </c>
      <c r="AG116" s="26">
        <f t="shared" si="91"/>
        <v>2</v>
      </c>
      <c r="AH116" s="26">
        <f t="shared" si="91"/>
        <v>2</v>
      </c>
      <c r="AI116" s="26">
        <f t="shared" si="91"/>
        <v>2</v>
      </c>
      <c r="AJ116" s="26">
        <f t="shared" si="91"/>
        <v>2</v>
      </c>
      <c r="AK116" s="26">
        <f t="shared" si="91"/>
        <v>2</v>
      </c>
      <c r="AL116" s="26">
        <f t="shared" si="91"/>
        <v>2</v>
      </c>
      <c r="AM116" s="26">
        <f t="shared" si="91"/>
        <v>2</v>
      </c>
      <c r="AN116" s="26">
        <f t="shared" si="91"/>
        <v>2</v>
      </c>
      <c r="AO116" s="26">
        <f t="shared" si="91"/>
        <v>2</v>
      </c>
      <c r="AP116" s="26">
        <f t="shared" si="91"/>
        <v>2</v>
      </c>
      <c r="AQ116" s="26">
        <f t="shared" si="91"/>
        <v>2</v>
      </c>
      <c r="AR116" s="26">
        <f t="shared" si="91"/>
        <v>2</v>
      </c>
      <c r="AS116" s="26">
        <f t="shared" si="91"/>
        <v>2</v>
      </c>
      <c r="AV116" s="16">
        <f t="shared" si="96"/>
        <v>0</v>
      </c>
      <c r="AW116" s="16">
        <f t="shared" si="92"/>
        <v>0</v>
      </c>
      <c r="AX116" s="16">
        <f t="shared" si="92"/>
        <v>0</v>
      </c>
      <c r="AY116" s="16">
        <f t="shared" si="92"/>
        <v>0</v>
      </c>
      <c r="AZ116" s="16">
        <f t="shared" si="92"/>
        <v>0</v>
      </c>
      <c r="BA116" s="16">
        <f t="shared" si="92"/>
        <v>0</v>
      </c>
      <c r="BB116" s="16">
        <f t="shared" si="92"/>
        <v>0</v>
      </c>
      <c r="BC116" s="16">
        <f t="shared" si="92"/>
        <v>0</v>
      </c>
      <c r="BD116" s="16">
        <f t="shared" si="92"/>
        <v>0</v>
      </c>
      <c r="BE116" s="16">
        <f t="shared" si="92"/>
        <v>0</v>
      </c>
      <c r="BF116" s="16">
        <f t="shared" si="92"/>
        <v>0</v>
      </c>
      <c r="BG116" s="16">
        <f t="shared" si="92"/>
        <v>0</v>
      </c>
      <c r="BH116" s="16">
        <f t="shared" si="92"/>
        <v>0</v>
      </c>
      <c r="BI116" s="16">
        <f t="shared" si="92"/>
        <v>0</v>
      </c>
      <c r="BJ116" s="16">
        <f t="shared" si="92"/>
        <v>0</v>
      </c>
      <c r="BK116" s="16">
        <f t="shared" si="92"/>
        <v>0</v>
      </c>
      <c r="BL116" s="16">
        <f t="shared" si="92"/>
        <v>0</v>
      </c>
      <c r="BM116" s="16">
        <f t="shared" si="92"/>
        <v>0</v>
      </c>
      <c r="BN116" s="16">
        <f t="shared" si="92"/>
        <v>0</v>
      </c>
      <c r="BO116" s="16">
        <f t="shared" si="92"/>
        <v>0</v>
      </c>
    </row>
    <row r="117" spans="1:68" x14ac:dyDescent="0.35">
      <c r="A117" s="7" t="str">
        <v>Interrogating - Call session control function software</v>
      </c>
      <c r="C117" s="9">
        <v>8</v>
      </c>
      <c r="D117" s="26">
        <f t="shared" si="93"/>
        <v>1714</v>
      </c>
      <c r="E117" s="26">
        <f t="shared" si="94"/>
        <v>1714</v>
      </c>
      <c r="F117" s="26">
        <f t="shared" si="89"/>
        <v>1714</v>
      </c>
      <c r="G117" s="26">
        <f t="shared" si="89"/>
        <v>1714</v>
      </c>
      <c r="H117" s="26">
        <f t="shared" si="89"/>
        <v>1714</v>
      </c>
      <c r="I117" s="26">
        <f t="shared" si="89"/>
        <v>1714</v>
      </c>
      <c r="J117" s="26">
        <f t="shared" si="89"/>
        <v>1714</v>
      </c>
      <c r="K117" s="26">
        <f t="shared" si="89"/>
        <v>1714</v>
      </c>
      <c r="L117" s="26">
        <f t="shared" si="89"/>
        <v>758</v>
      </c>
      <c r="M117" s="26">
        <f t="shared" si="89"/>
        <v>758</v>
      </c>
      <c r="N117" s="26">
        <f t="shared" si="89"/>
        <v>758</v>
      </c>
      <c r="O117" s="26">
        <f t="shared" si="89"/>
        <v>758</v>
      </c>
      <c r="P117" s="26">
        <f t="shared" si="89"/>
        <v>758</v>
      </c>
      <c r="Q117" s="26">
        <f t="shared" si="89"/>
        <v>758</v>
      </c>
      <c r="R117" s="26">
        <f t="shared" si="89"/>
        <v>758</v>
      </c>
      <c r="S117" s="26">
        <f t="shared" si="89"/>
        <v>758</v>
      </c>
      <c r="T117" s="26">
        <f t="shared" si="89"/>
        <v>340</v>
      </c>
      <c r="U117" s="26">
        <f t="shared" si="89"/>
        <v>340</v>
      </c>
      <c r="V117" s="26">
        <f t="shared" si="89"/>
        <v>340</v>
      </c>
      <c r="W117" s="26">
        <f t="shared" si="89"/>
        <v>340</v>
      </c>
      <c r="Z117" s="26">
        <f t="shared" si="95"/>
        <v>1266</v>
      </c>
      <c r="AA117" s="26">
        <f t="shared" si="90"/>
        <v>1266</v>
      </c>
      <c r="AB117" s="26">
        <f t="shared" si="91"/>
        <v>1266</v>
      </c>
      <c r="AC117" s="26">
        <f t="shared" si="91"/>
        <v>1266</v>
      </c>
      <c r="AD117" s="26">
        <f t="shared" si="91"/>
        <v>1266</v>
      </c>
      <c r="AE117" s="26">
        <f t="shared" si="91"/>
        <v>1266</v>
      </c>
      <c r="AF117" s="26">
        <f t="shared" si="91"/>
        <v>1266</v>
      </c>
      <c r="AG117" s="26">
        <f t="shared" si="91"/>
        <v>1266</v>
      </c>
      <c r="AH117" s="26">
        <f t="shared" si="91"/>
        <v>528</v>
      </c>
      <c r="AI117" s="26">
        <f t="shared" si="91"/>
        <v>528</v>
      </c>
      <c r="AJ117" s="26">
        <f t="shared" si="91"/>
        <v>528</v>
      </c>
      <c r="AK117" s="26">
        <f t="shared" si="91"/>
        <v>528</v>
      </c>
      <c r="AL117" s="26">
        <f t="shared" si="91"/>
        <v>528</v>
      </c>
      <c r="AM117" s="26">
        <f t="shared" si="91"/>
        <v>528</v>
      </c>
      <c r="AN117" s="26">
        <f t="shared" si="91"/>
        <v>528</v>
      </c>
      <c r="AO117" s="26">
        <f t="shared" si="91"/>
        <v>528</v>
      </c>
      <c r="AP117" s="26">
        <f t="shared" si="91"/>
        <v>236</v>
      </c>
      <c r="AQ117" s="26">
        <f t="shared" si="91"/>
        <v>236</v>
      </c>
      <c r="AR117" s="26">
        <f t="shared" si="91"/>
        <v>236</v>
      </c>
      <c r="AS117" s="26">
        <f t="shared" si="91"/>
        <v>236</v>
      </c>
      <c r="AV117" s="16">
        <f t="shared" si="96"/>
        <v>448</v>
      </c>
      <c r="AW117" s="16">
        <f t="shared" si="92"/>
        <v>448</v>
      </c>
      <c r="AX117" s="16">
        <f t="shared" si="92"/>
        <v>448</v>
      </c>
      <c r="AY117" s="16">
        <f t="shared" si="92"/>
        <v>448</v>
      </c>
      <c r="AZ117" s="16">
        <f t="shared" si="92"/>
        <v>448</v>
      </c>
      <c r="BA117" s="16">
        <f t="shared" si="92"/>
        <v>448</v>
      </c>
      <c r="BB117" s="16">
        <f t="shared" si="92"/>
        <v>448</v>
      </c>
      <c r="BC117" s="16">
        <f t="shared" si="92"/>
        <v>448</v>
      </c>
      <c r="BD117" s="16">
        <f t="shared" si="92"/>
        <v>230</v>
      </c>
      <c r="BE117" s="16">
        <f t="shared" si="92"/>
        <v>230</v>
      </c>
      <c r="BF117" s="16">
        <f t="shared" si="92"/>
        <v>230</v>
      </c>
      <c r="BG117" s="16">
        <f t="shared" si="92"/>
        <v>230</v>
      </c>
      <c r="BH117" s="16">
        <f t="shared" si="92"/>
        <v>230</v>
      </c>
      <c r="BI117" s="16">
        <f t="shared" si="92"/>
        <v>230</v>
      </c>
      <c r="BJ117" s="16">
        <f t="shared" si="92"/>
        <v>230</v>
      </c>
      <c r="BK117" s="16">
        <f t="shared" si="92"/>
        <v>230</v>
      </c>
      <c r="BL117" s="16">
        <f t="shared" si="92"/>
        <v>104</v>
      </c>
      <c r="BM117" s="16">
        <f t="shared" si="92"/>
        <v>104</v>
      </c>
      <c r="BN117" s="16">
        <f t="shared" si="92"/>
        <v>104</v>
      </c>
      <c r="BO117" s="16">
        <f t="shared" si="92"/>
        <v>104</v>
      </c>
    </row>
    <row r="118" spans="1:68" x14ac:dyDescent="0.35">
      <c r="A118" s="7" t="str">
        <v>Serving - Call session control function hardware</v>
      </c>
      <c r="C118" s="9">
        <v>8</v>
      </c>
      <c r="D118" s="26">
        <f t="shared" si="93"/>
        <v>2</v>
      </c>
      <c r="E118" s="26">
        <f t="shared" si="94"/>
        <v>2</v>
      </c>
      <c r="F118" s="26">
        <f t="shared" si="89"/>
        <v>2</v>
      </c>
      <c r="G118" s="26">
        <f t="shared" si="89"/>
        <v>2</v>
      </c>
      <c r="H118" s="26">
        <f t="shared" si="89"/>
        <v>2</v>
      </c>
      <c r="I118" s="26">
        <f t="shared" si="89"/>
        <v>2</v>
      </c>
      <c r="J118" s="26">
        <f t="shared" si="89"/>
        <v>2</v>
      </c>
      <c r="K118" s="26">
        <f t="shared" si="89"/>
        <v>2</v>
      </c>
      <c r="L118" s="26">
        <f t="shared" si="89"/>
        <v>2</v>
      </c>
      <c r="M118" s="26">
        <f t="shared" si="89"/>
        <v>2</v>
      </c>
      <c r="N118" s="26">
        <f t="shared" si="89"/>
        <v>2</v>
      </c>
      <c r="O118" s="26">
        <f t="shared" si="89"/>
        <v>2</v>
      </c>
      <c r="P118" s="26">
        <f t="shared" si="89"/>
        <v>2</v>
      </c>
      <c r="Q118" s="26">
        <f t="shared" si="89"/>
        <v>2</v>
      </c>
      <c r="R118" s="26">
        <f t="shared" si="89"/>
        <v>2</v>
      </c>
      <c r="S118" s="26">
        <f t="shared" si="89"/>
        <v>2</v>
      </c>
      <c r="T118" s="26">
        <f t="shared" si="89"/>
        <v>2</v>
      </c>
      <c r="U118" s="26">
        <f t="shared" si="89"/>
        <v>2</v>
      </c>
      <c r="V118" s="26">
        <f t="shared" si="89"/>
        <v>2</v>
      </c>
      <c r="W118" s="26">
        <f t="shared" si="89"/>
        <v>2</v>
      </c>
      <c r="Z118" s="26">
        <f t="shared" si="95"/>
        <v>2</v>
      </c>
      <c r="AA118" s="26">
        <f t="shared" si="90"/>
        <v>2</v>
      </c>
      <c r="AB118" s="26">
        <f t="shared" si="91"/>
        <v>2</v>
      </c>
      <c r="AC118" s="26">
        <f t="shared" si="91"/>
        <v>2</v>
      </c>
      <c r="AD118" s="26">
        <f t="shared" si="91"/>
        <v>2</v>
      </c>
      <c r="AE118" s="26">
        <f t="shared" si="91"/>
        <v>2</v>
      </c>
      <c r="AF118" s="26">
        <f t="shared" si="91"/>
        <v>2</v>
      </c>
      <c r="AG118" s="26">
        <f t="shared" si="91"/>
        <v>2</v>
      </c>
      <c r="AH118" s="26">
        <f t="shared" si="91"/>
        <v>2</v>
      </c>
      <c r="AI118" s="26">
        <f t="shared" si="91"/>
        <v>2</v>
      </c>
      <c r="AJ118" s="26">
        <f t="shared" si="91"/>
        <v>2</v>
      </c>
      <c r="AK118" s="26">
        <f t="shared" si="91"/>
        <v>2</v>
      </c>
      <c r="AL118" s="26">
        <f t="shared" si="91"/>
        <v>2</v>
      </c>
      <c r="AM118" s="26">
        <f t="shared" si="91"/>
        <v>2</v>
      </c>
      <c r="AN118" s="26">
        <f t="shared" si="91"/>
        <v>2</v>
      </c>
      <c r="AO118" s="26">
        <f t="shared" si="91"/>
        <v>2</v>
      </c>
      <c r="AP118" s="26">
        <f t="shared" si="91"/>
        <v>2</v>
      </c>
      <c r="AQ118" s="26">
        <f t="shared" si="91"/>
        <v>2</v>
      </c>
      <c r="AR118" s="26">
        <f t="shared" si="91"/>
        <v>2</v>
      </c>
      <c r="AS118" s="26">
        <f t="shared" si="91"/>
        <v>2</v>
      </c>
      <c r="AV118" s="16">
        <f>D118-Z118</f>
        <v>0</v>
      </c>
      <c r="AW118" s="16">
        <f t="shared" si="92"/>
        <v>0</v>
      </c>
      <c r="AX118" s="16">
        <f t="shared" si="92"/>
        <v>0</v>
      </c>
      <c r="AY118" s="16">
        <f t="shared" si="92"/>
        <v>0</v>
      </c>
      <c r="AZ118" s="16">
        <f t="shared" si="92"/>
        <v>0</v>
      </c>
      <c r="BA118" s="16">
        <f t="shared" si="92"/>
        <v>0</v>
      </c>
      <c r="BB118" s="16">
        <f t="shared" si="92"/>
        <v>0</v>
      </c>
      <c r="BC118" s="16">
        <f t="shared" si="92"/>
        <v>0</v>
      </c>
      <c r="BD118" s="16">
        <f t="shared" si="92"/>
        <v>0</v>
      </c>
      <c r="BE118" s="16">
        <f t="shared" si="92"/>
        <v>0</v>
      </c>
      <c r="BF118" s="16">
        <f t="shared" si="92"/>
        <v>0</v>
      </c>
      <c r="BG118" s="16">
        <f t="shared" si="92"/>
        <v>0</v>
      </c>
      <c r="BH118" s="16">
        <f t="shared" si="92"/>
        <v>0</v>
      </c>
      <c r="BI118" s="16">
        <f t="shared" si="92"/>
        <v>0</v>
      </c>
      <c r="BJ118" s="16">
        <f t="shared" si="92"/>
        <v>0</v>
      </c>
      <c r="BK118" s="16">
        <f t="shared" si="92"/>
        <v>0</v>
      </c>
      <c r="BL118" s="16">
        <f t="shared" si="92"/>
        <v>0</v>
      </c>
      <c r="BM118" s="16">
        <f t="shared" si="92"/>
        <v>0</v>
      </c>
      <c r="BN118" s="16">
        <f t="shared" si="92"/>
        <v>0</v>
      </c>
      <c r="BO118" s="16">
        <f t="shared" si="92"/>
        <v>0</v>
      </c>
    </row>
    <row r="119" spans="1:68" x14ac:dyDescent="0.35">
      <c r="A119" s="7" t="str">
        <v>Serving - Call session control function software</v>
      </c>
      <c r="C119" s="9">
        <v>8</v>
      </c>
      <c r="D119" s="26">
        <f t="shared" si="93"/>
        <v>1714</v>
      </c>
      <c r="E119" s="26">
        <f t="shared" si="94"/>
        <v>1714</v>
      </c>
      <c r="F119" s="26">
        <f t="shared" si="89"/>
        <v>1714</v>
      </c>
      <c r="G119" s="26">
        <f t="shared" si="89"/>
        <v>1714</v>
      </c>
      <c r="H119" s="26">
        <f t="shared" si="89"/>
        <v>1714</v>
      </c>
      <c r="I119" s="26">
        <f t="shared" si="89"/>
        <v>1714</v>
      </c>
      <c r="J119" s="26">
        <f t="shared" si="89"/>
        <v>1714</v>
      </c>
      <c r="K119" s="26">
        <f t="shared" si="89"/>
        <v>1714</v>
      </c>
      <c r="L119" s="26">
        <f t="shared" si="89"/>
        <v>758</v>
      </c>
      <c r="M119" s="26">
        <f t="shared" si="89"/>
        <v>758</v>
      </c>
      <c r="N119" s="26">
        <f t="shared" si="89"/>
        <v>758</v>
      </c>
      <c r="O119" s="26">
        <f t="shared" si="89"/>
        <v>758</v>
      </c>
      <c r="P119" s="26">
        <f t="shared" si="89"/>
        <v>758</v>
      </c>
      <c r="Q119" s="26">
        <f t="shared" si="89"/>
        <v>758</v>
      </c>
      <c r="R119" s="26">
        <f t="shared" si="89"/>
        <v>758</v>
      </c>
      <c r="S119" s="26">
        <f t="shared" si="89"/>
        <v>758</v>
      </c>
      <c r="T119" s="26">
        <f t="shared" si="89"/>
        <v>340</v>
      </c>
      <c r="U119" s="26">
        <f t="shared" si="89"/>
        <v>340</v>
      </c>
      <c r="V119" s="26">
        <f t="shared" si="89"/>
        <v>340</v>
      </c>
      <c r="W119" s="26">
        <f t="shared" si="89"/>
        <v>340</v>
      </c>
      <c r="Z119" s="26">
        <f t="shared" si="95"/>
        <v>1266</v>
      </c>
      <c r="AA119" s="26">
        <f t="shared" si="90"/>
        <v>1266</v>
      </c>
      <c r="AB119" s="26">
        <f t="shared" si="91"/>
        <v>1266</v>
      </c>
      <c r="AC119" s="26">
        <f t="shared" si="91"/>
        <v>1266</v>
      </c>
      <c r="AD119" s="26">
        <f t="shared" si="91"/>
        <v>1266</v>
      </c>
      <c r="AE119" s="26">
        <f t="shared" si="91"/>
        <v>1266</v>
      </c>
      <c r="AF119" s="26">
        <f t="shared" si="91"/>
        <v>1266</v>
      </c>
      <c r="AG119" s="26">
        <f t="shared" si="91"/>
        <v>1266</v>
      </c>
      <c r="AH119" s="26">
        <f t="shared" si="91"/>
        <v>528</v>
      </c>
      <c r="AI119" s="26">
        <f t="shared" si="91"/>
        <v>528</v>
      </c>
      <c r="AJ119" s="26">
        <f t="shared" si="91"/>
        <v>528</v>
      </c>
      <c r="AK119" s="26">
        <f t="shared" si="91"/>
        <v>528</v>
      </c>
      <c r="AL119" s="26">
        <f t="shared" si="91"/>
        <v>528</v>
      </c>
      <c r="AM119" s="26">
        <f t="shared" si="91"/>
        <v>528</v>
      </c>
      <c r="AN119" s="26">
        <f t="shared" si="91"/>
        <v>528</v>
      </c>
      <c r="AO119" s="26">
        <f t="shared" si="91"/>
        <v>528</v>
      </c>
      <c r="AP119" s="26">
        <f t="shared" si="91"/>
        <v>236</v>
      </c>
      <c r="AQ119" s="26">
        <f t="shared" si="91"/>
        <v>236</v>
      </c>
      <c r="AR119" s="26">
        <f t="shared" si="91"/>
        <v>236</v>
      </c>
      <c r="AS119" s="26">
        <f t="shared" si="91"/>
        <v>236</v>
      </c>
      <c r="AV119" s="16">
        <f t="shared" si="96"/>
        <v>448</v>
      </c>
      <c r="AW119" s="16">
        <f t="shared" si="92"/>
        <v>448</v>
      </c>
      <c r="AX119" s="16">
        <f t="shared" si="92"/>
        <v>448</v>
      </c>
      <c r="AY119" s="16">
        <f t="shared" si="92"/>
        <v>448</v>
      </c>
      <c r="AZ119" s="16">
        <f t="shared" si="92"/>
        <v>448</v>
      </c>
      <c r="BA119" s="16">
        <f t="shared" si="92"/>
        <v>448</v>
      </c>
      <c r="BB119" s="16">
        <f t="shared" si="92"/>
        <v>448</v>
      </c>
      <c r="BC119" s="16">
        <f t="shared" si="92"/>
        <v>448</v>
      </c>
      <c r="BD119" s="16">
        <f t="shared" si="92"/>
        <v>230</v>
      </c>
      <c r="BE119" s="16">
        <f t="shared" si="92"/>
        <v>230</v>
      </c>
      <c r="BF119" s="16">
        <f t="shared" si="92"/>
        <v>230</v>
      </c>
      <c r="BG119" s="16">
        <f t="shared" si="92"/>
        <v>230</v>
      </c>
      <c r="BH119" s="16">
        <f t="shared" si="92"/>
        <v>230</v>
      </c>
      <c r="BI119" s="16">
        <f t="shared" si="92"/>
        <v>230</v>
      </c>
      <c r="BJ119" s="16">
        <f t="shared" si="92"/>
        <v>230</v>
      </c>
      <c r="BK119" s="16">
        <f t="shared" si="92"/>
        <v>230</v>
      </c>
      <c r="BL119" s="16">
        <f t="shared" si="92"/>
        <v>104</v>
      </c>
      <c r="BM119" s="16">
        <f t="shared" si="92"/>
        <v>104</v>
      </c>
      <c r="BN119" s="16">
        <f t="shared" si="92"/>
        <v>104</v>
      </c>
      <c r="BO119" s="16">
        <f t="shared" si="92"/>
        <v>104</v>
      </c>
    </row>
    <row r="120" spans="1:68" x14ac:dyDescent="0.35">
      <c r="A120" s="7" t="str">
        <v>Media resource function - hardware</v>
      </c>
      <c r="C120" s="9">
        <v>8</v>
      </c>
      <c r="D120" s="26">
        <f t="shared" si="93"/>
        <v>14</v>
      </c>
      <c r="E120" s="26">
        <f t="shared" si="94"/>
        <v>14</v>
      </c>
      <c r="F120" s="26">
        <f t="shared" si="89"/>
        <v>14</v>
      </c>
      <c r="G120" s="26">
        <f t="shared" si="89"/>
        <v>14</v>
      </c>
      <c r="H120" s="26">
        <f t="shared" si="89"/>
        <v>14</v>
      </c>
      <c r="I120" s="26">
        <f t="shared" si="89"/>
        <v>14</v>
      </c>
      <c r="J120" s="26">
        <f t="shared" si="89"/>
        <v>14</v>
      </c>
      <c r="K120" s="26">
        <f t="shared" si="89"/>
        <v>14</v>
      </c>
      <c r="L120" s="26">
        <f t="shared" si="89"/>
        <v>6</v>
      </c>
      <c r="M120" s="26">
        <f t="shared" si="89"/>
        <v>6</v>
      </c>
      <c r="N120" s="26">
        <f t="shared" si="89"/>
        <v>6</v>
      </c>
      <c r="O120" s="26">
        <f t="shared" si="89"/>
        <v>6</v>
      </c>
      <c r="P120" s="26">
        <f t="shared" si="89"/>
        <v>6</v>
      </c>
      <c r="Q120" s="26">
        <f t="shared" si="89"/>
        <v>6</v>
      </c>
      <c r="R120" s="26">
        <f t="shared" si="89"/>
        <v>6</v>
      </c>
      <c r="S120" s="26">
        <f t="shared" si="89"/>
        <v>6</v>
      </c>
      <c r="T120" s="26">
        <f t="shared" si="89"/>
        <v>4</v>
      </c>
      <c r="U120" s="26">
        <f t="shared" si="89"/>
        <v>4</v>
      </c>
      <c r="V120" s="26">
        <f t="shared" si="89"/>
        <v>4</v>
      </c>
      <c r="W120" s="26">
        <f t="shared" si="89"/>
        <v>4</v>
      </c>
      <c r="Z120" s="26">
        <f t="shared" si="95"/>
        <v>10</v>
      </c>
      <c r="AA120" s="26">
        <f t="shared" si="90"/>
        <v>10</v>
      </c>
      <c r="AB120" s="26">
        <f t="shared" si="91"/>
        <v>10</v>
      </c>
      <c r="AC120" s="26">
        <f t="shared" si="91"/>
        <v>10</v>
      </c>
      <c r="AD120" s="26">
        <f t="shared" si="91"/>
        <v>10</v>
      </c>
      <c r="AE120" s="26">
        <f t="shared" si="91"/>
        <v>10</v>
      </c>
      <c r="AF120" s="26">
        <f t="shared" si="91"/>
        <v>10</v>
      </c>
      <c r="AG120" s="26">
        <f t="shared" si="91"/>
        <v>10</v>
      </c>
      <c r="AH120" s="26">
        <f t="shared" si="91"/>
        <v>4</v>
      </c>
      <c r="AI120" s="26">
        <f t="shared" si="91"/>
        <v>4</v>
      </c>
      <c r="AJ120" s="26">
        <f t="shared" si="91"/>
        <v>4</v>
      </c>
      <c r="AK120" s="26">
        <f t="shared" si="91"/>
        <v>4</v>
      </c>
      <c r="AL120" s="26">
        <f t="shared" si="91"/>
        <v>4</v>
      </c>
      <c r="AM120" s="26">
        <f t="shared" si="91"/>
        <v>4</v>
      </c>
      <c r="AN120" s="26">
        <f t="shared" si="91"/>
        <v>4</v>
      </c>
      <c r="AO120" s="26">
        <f t="shared" si="91"/>
        <v>4</v>
      </c>
      <c r="AP120" s="26">
        <f t="shared" si="91"/>
        <v>2</v>
      </c>
      <c r="AQ120" s="26">
        <f t="shared" si="91"/>
        <v>2</v>
      </c>
      <c r="AR120" s="26">
        <f t="shared" si="91"/>
        <v>2</v>
      </c>
      <c r="AS120" s="26">
        <f t="shared" si="91"/>
        <v>2</v>
      </c>
      <c r="AV120" s="16">
        <f t="shared" si="96"/>
        <v>4</v>
      </c>
      <c r="AW120" s="16">
        <f t="shared" si="92"/>
        <v>4</v>
      </c>
      <c r="AX120" s="16">
        <f t="shared" si="92"/>
        <v>4</v>
      </c>
      <c r="AY120" s="16">
        <f t="shared" si="92"/>
        <v>4</v>
      </c>
      <c r="AZ120" s="16">
        <f t="shared" si="92"/>
        <v>4</v>
      </c>
      <c r="BA120" s="16">
        <f t="shared" si="92"/>
        <v>4</v>
      </c>
      <c r="BB120" s="16">
        <f t="shared" si="92"/>
        <v>4</v>
      </c>
      <c r="BC120" s="16">
        <f t="shared" si="92"/>
        <v>4</v>
      </c>
      <c r="BD120" s="16">
        <f t="shared" si="92"/>
        <v>2</v>
      </c>
      <c r="BE120" s="16">
        <f t="shared" si="92"/>
        <v>2</v>
      </c>
      <c r="BF120" s="16">
        <f t="shared" si="92"/>
        <v>2</v>
      </c>
      <c r="BG120" s="16">
        <f t="shared" si="92"/>
        <v>2</v>
      </c>
      <c r="BH120" s="16">
        <f t="shared" si="92"/>
        <v>2</v>
      </c>
      <c r="BI120" s="16">
        <f t="shared" si="92"/>
        <v>2</v>
      </c>
      <c r="BJ120" s="16">
        <f t="shared" si="92"/>
        <v>2</v>
      </c>
      <c r="BK120" s="16">
        <f t="shared" si="92"/>
        <v>2</v>
      </c>
      <c r="BL120" s="16">
        <f t="shared" si="92"/>
        <v>2</v>
      </c>
      <c r="BM120" s="16">
        <f t="shared" si="92"/>
        <v>2</v>
      </c>
      <c r="BN120" s="16">
        <f t="shared" si="92"/>
        <v>2</v>
      </c>
      <c r="BO120" s="16">
        <f t="shared" si="92"/>
        <v>2</v>
      </c>
    </row>
    <row r="121" spans="1:68" x14ac:dyDescent="0.35">
      <c r="A121" s="7" t="str">
        <v>Media resource function - software</v>
      </c>
      <c r="C121" s="9">
        <v>8</v>
      </c>
      <c r="D121" s="26">
        <f>D27</f>
        <v>142152</v>
      </c>
      <c r="E121" s="26">
        <f t="shared" si="94"/>
        <v>142152</v>
      </c>
      <c r="F121" s="26">
        <f t="shared" si="89"/>
        <v>142152</v>
      </c>
      <c r="G121" s="26">
        <f t="shared" si="89"/>
        <v>142152</v>
      </c>
      <c r="H121" s="26">
        <f t="shared" si="89"/>
        <v>142152</v>
      </c>
      <c r="I121" s="26">
        <f t="shared" si="89"/>
        <v>142152</v>
      </c>
      <c r="J121" s="26">
        <f t="shared" si="89"/>
        <v>142152</v>
      </c>
      <c r="K121" s="26">
        <f t="shared" si="89"/>
        <v>142152</v>
      </c>
      <c r="L121" s="26">
        <f t="shared" si="89"/>
        <v>61638</v>
      </c>
      <c r="M121" s="26">
        <f t="shared" si="89"/>
        <v>61638</v>
      </c>
      <c r="N121" s="26">
        <f t="shared" si="89"/>
        <v>61638</v>
      </c>
      <c r="O121" s="26">
        <f t="shared" si="89"/>
        <v>61638</v>
      </c>
      <c r="P121" s="26">
        <f t="shared" si="89"/>
        <v>61638</v>
      </c>
      <c r="Q121" s="26">
        <f t="shared" si="89"/>
        <v>61638</v>
      </c>
      <c r="R121" s="26">
        <f t="shared" si="89"/>
        <v>61638</v>
      </c>
      <c r="S121" s="26">
        <f t="shared" si="89"/>
        <v>61638</v>
      </c>
      <c r="T121" s="26">
        <f t="shared" si="89"/>
        <v>27606</v>
      </c>
      <c r="U121" s="26">
        <f t="shared" si="89"/>
        <v>27606</v>
      </c>
      <c r="V121" s="26">
        <f t="shared" si="89"/>
        <v>27606</v>
      </c>
      <c r="W121" s="26">
        <f t="shared" si="89"/>
        <v>27606</v>
      </c>
      <c r="Z121" s="26">
        <f t="shared" si="95"/>
        <v>110792</v>
      </c>
      <c r="AA121" s="26">
        <f t="shared" si="90"/>
        <v>110792</v>
      </c>
      <c r="AB121" s="26">
        <f t="shared" si="91"/>
        <v>110792</v>
      </c>
      <c r="AC121" s="26">
        <f t="shared" si="91"/>
        <v>110792</v>
      </c>
      <c r="AD121" s="26">
        <f t="shared" si="91"/>
        <v>110792</v>
      </c>
      <c r="AE121" s="26">
        <f t="shared" si="91"/>
        <v>110792</v>
      </c>
      <c r="AF121" s="26">
        <f t="shared" si="91"/>
        <v>110792</v>
      </c>
      <c r="AG121" s="26">
        <f t="shared" si="91"/>
        <v>110792</v>
      </c>
      <c r="AH121" s="26">
        <f t="shared" si="91"/>
        <v>45580</v>
      </c>
      <c r="AI121" s="26">
        <f t="shared" si="91"/>
        <v>45580</v>
      </c>
      <c r="AJ121" s="26">
        <f t="shared" si="91"/>
        <v>45580</v>
      </c>
      <c r="AK121" s="26">
        <f t="shared" si="91"/>
        <v>45580</v>
      </c>
      <c r="AL121" s="26">
        <f t="shared" si="91"/>
        <v>45580</v>
      </c>
      <c r="AM121" s="26">
        <f t="shared" si="91"/>
        <v>45580</v>
      </c>
      <c r="AN121" s="26">
        <f t="shared" si="91"/>
        <v>45580</v>
      </c>
      <c r="AO121" s="26">
        <f t="shared" si="91"/>
        <v>45580</v>
      </c>
      <c r="AP121" s="26">
        <f t="shared" si="91"/>
        <v>20414</v>
      </c>
      <c r="AQ121" s="26">
        <f t="shared" si="91"/>
        <v>20414</v>
      </c>
      <c r="AR121" s="26">
        <f t="shared" si="91"/>
        <v>20414</v>
      </c>
      <c r="AS121" s="26">
        <f t="shared" si="91"/>
        <v>20414</v>
      </c>
      <c r="AV121" s="16">
        <f t="shared" si="96"/>
        <v>31360</v>
      </c>
      <c r="AW121" s="16">
        <f t="shared" si="92"/>
        <v>31360</v>
      </c>
      <c r="AX121" s="16">
        <f t="shared" si="92"/>
        <v>31360</v>
      </c>
      <c r="AY121" s="16">
        <f t="shared" si="92"/>
        <v>31360</v>
      </c>
      <c r="AZ121" s="16">
        <f t="shared" si="92"/>
        <v>31360</v>
      </c>
      <c r="BA121" s="16">
        <f t="shared" si="92"/>
        <v>31360</v>
      </c>
      <c r="BB121" s="16">
        <f t="shared" si="92"/>
        <v>31360</v>
      </c>
      <c r="BC121" s="16">
        <f t="shared" si="92"/>
        <v>31360</v>
      </c>
      <c r="BD121" s="16">
        <f t="shared" si="92"/>
        <v>16058</v>
      </c>
      <c r="BE121" s="16">
        <f t="shared" si="92"/>
        <v>16058</v>
      </c>
      <c r="BF121" s="16">
        <f t="shared" si="92"/>
        <v>16058</v>
      </c>
      <c r="BG121" s="16">
        <f t="shared" si="92"/>
        <v>16058</v>
      </c>
      <c r="BH121" s="16">
        <f t="shared" si="92"/>
        <v>16058</v>
      </c>
      <c r="BI121" s="16">
        <f t="shared" si="92"/>
        <v>16058</v>
      </c>
      <c r="BJ121" s="16">
        <f t="shared" si="92"/>
        <v>16058</v>
      </c>
      <c r="BK121" s="16">
        <f t="shared" si="92"/>
        <v>16058</v>
      </c>
      <c r="BL121" s="16">
        <f t="shared" si="92"/>
        <v>7192</v>
      </c>
      <c r="BM121" s="16">
        <f t="shared" si="92"/>
        <v>7192</v>
      </c>
      <c r="BN121" s="16">
        <f t="shared" si="92"/>
        <v>7192</v>
      </c>
      <c r="BO121" s="16">
        <f t="shared" si="92"/>
        <v>7192</v>
      </c>
    </row>
    <row r="122" spans="1:68" x14ac:dyDescent="0.35">
      <c r="A122" s="7" t="str">
        <v>Access session border controller - hardware</v>
      </c>
      <c r="C122" s="9">
        <v>8</v>
      </c>
      <c r="D122" s="26">
        <f t="shared" si="93"/>
        <v>6</v>
      </c>
      <c r="E122" s="26">
        <f t="shared" si="94"/>
        <v>6</v>
      </c>
      <c r="F122" s="26">
        <f t="shared" si="89"/>
        <v>6</v>
      </c>
      <c r="G122" s="26">
        <f t="shared" si="89"/>
        <v>6</v>
      </c>
      <c r="H122" s="26">
        <f t="shared" si="89"/>
        <v>6</v>
      </c>
      <c r="I122" s="26">
        <f t="shared" si="89"/>
        <v>6</v>
      </c>
      <c r="J122" s="26">
        <f t="shared" si="89"/>
        <v>6</v>
      </c>
      <c r="K122" s="26">
        <f t="shared" si="89"/>
        <v>6</v>
      </c>
      <c r="L122" s="26">
        <f t="shared" si="89"/>
        <v>2</v>
      </c>
      <c r="M122" s="26">
        <f t="shared" si="89"/>
        <v>2</v>
      </c>
      <c r="N122" s="26">
        <f t="shared" si="89"/>
        <v>2</v>
      </c>
      <c r="O122" s="26">
        <f t="shared" si="89"/>
        <v>2</v>
      </c>
      <c r="P122" s="26">
        <f t="shared" si="89"/>
        <v>2</v>
      </c>
      <c r="Q122" s="26">
        <f t="shared" si="89"/>
        <v>2</v>
      </c>
      <c r="R122" s="26">
        <f t="shared" si="89"/>
        <v>2</v>
      </c>
      <c r="S122" s="26">
        <f t="shared" si="89"/>
        <v>2</v>
      </c>
      <c r="T122" s="26">
        <f t="shared" si="89"/>
        <v>2</v>
      </c>
      <c r="U122" s="26">
        <f t="shared" si="89"/>
        <v>2</v>
      </c>
      <c r="V122" s="26">
        <f t="shared" si="89"/>
        <v>2</v>
      </c>
      <c r="W122" s="26">
        <f t="shared" si="89"/>
        <v>2</v>
      </c>
      <c r="Z122" s="26">
        <f t="shared" si="95"/>
        <v>4</v>
      </c>
      <c r="AA122" s="26">
        <f t="shared" si="90"/>
        <v>4</v>
      </c>
      <c r="AB122" s="26">
        <f t="shared" si="91"/>
        <v>4</v>
      </c>
      <c r="AC122" s="26">
        <f t="shared" si="91"/>
        <v>4</v>
      </c>
      <c r="AD122" s="26">
        <f t="shared" si="91"/>
        <v>4</v>
      </c>
      <c r="AE122" s="26">
        <f t="shared" si="91"/>
        <v>4</v>
      </c>
      <c r="AF122" s="26">
        <f t="shared" si="91"/>
        <v>4</v>
      </c>
      <c r="AG122" s="26">
        <f t="shared" si="91"/>
        <v>4</v>
      </c>
      <c r="AH122" s="26">
        <f t="shared" si="91"/>
        <v>2</v>
      </c>
      <c r="AI122" s="26">
        <f t="shared" si="91"/>
        <v>2</v>
      </c>
      <c r="AJ122" s="26">
        <f t="shared" si="91"/>
        <v>2</v>
      </c>
      <c r="AK122" s="26">
        <f t="shared" si="91"/>
        <v>2</v>
      </c>
      <c r="AL122" s="26">
        <f t="shared" si="91"/>
        <v>2</v>
      </c>
      <c r="AM122" s="26">
        <f t="shared" si="91"/>
        <v>2</v>
      </c>
      <c r="AN122" s="26">
        <f t="shared" si="91"/>
        <v>2</v>
      </c>
      <c r="AO122" s="26">
        <f t="shared" si="91"/>
        <v>2</v>
      </c>
      <c r="AP122" s="26">
        <f t="shared" si="91"/>
        <v>2</v>
      </c>
      <c r="AQ122" s="26">
        <f t="shared" si="91"/>
        <v>2</v>
      </c>
      <c r="AR122" s="26">
        <f t="shared" si="91"/>
        <v>2</v>
      </c>
      <c r="AS122" s="26">
        <f t="shared" si="91"/>
        <v>2</v>
      </c>
      <c r="AV122" s="16">
        <f t="shared" si="96"/>
        <v>2</v>
      </c>
      <c r="AW122" s="16">
        <f t="shared" si="92"/>
        <v>2</v>
      </c>
      <c r="AX122" s="16">
        <f t="shared" si="92"/>
        <v>2</v>
      </c>
      <c r="AY122" s="16">
        <f t="shared" si="92"/>
        <v>2</v>
      </c>
      <c r="AZ122" s="16">
        <f t="shared" si="92"/>
        <v>2</v>
      </c>
      <c r="BA122" s="16">
        <f t="shared" si="92"/>
        <v>2</v>
      </c>
      <c r="BB122" s="16">
        <f t="shared" si="92"/>
        <v>2</v>
      </c>
      <c r="BC122" s="16">
        <f t="shared" si="92"/>
        <v>2</v>
      </c>
      <c r="BD122" s="16">
        <f t="shared" si="92"/>
        <v>0</v>
      </c>
      <c r="BE122" s="16">
        <f t="shared" si="92"/>
        <v>0</v>
      </c>
      <c r="BF122" s="16">
        <f t="shared" si="92"/>
        <v>0</v>
      </c>
      <c r="BG122" s="16">
        <f t="shared" si="92"/>
        <v>0</v>
      </c>
      <c r="BH122" s="16">
        <f t="shared" si="92"/>
        <v>0</v>
      </c>
      <c r="BI122" s="16">
        <f t="shared" si="92"/>
        <v>0</v>
      </c>
      <c r="BJ122" s="16">
        <f t="shared" si="92"/>
        <v>0</v>
      </c>
      <c r="BK122" s="16">
        <f t="shared" si="92"/>
        <v>0</v>
      </c>
      <c r="BL122" s="16">
        <f t="shared" si="92"/>
        <v>0</v>
      </c>
      <c r="BM122" s="16">
        <f t="shared" si="92"/>
        <v>0</v>
      </c>
      <c r="BN122" s="16">
        <f t="shared" si="92"/>
        <v>0</v>
      </c>
      <c r="BO122" s="16">
        <f t="shared" si="92"/>
        <v>0</v>
      </c>
    </row>
    <row r="123" spans="1:68" x14ac:dyDescent="0.35">
      <c r="A123" s="7" t="str">
        <v>Access session border controller - software</v>
      </c>
      <c r="C123" s="9">
        <v>8</v>
      </c>
      <c r="D123" s="26">
        <f t="shared" si="93"/>
        <v>10</v>
      </c>
      <c r="E123" s="26">
        <f t="shared" si="94"/>
        <v>10</v>
      </c>
      <c r="F123" s="26">
        <f t="shared" si="89"/>
        <v>10</v>
      </c>
      <c r="G123" s="26">
        <f t="shared" si="89"/>
        <v>10</v>
      </c>
      <c r="H123" s="26">
        <f t="shared" si="89"/>
        <v>10</v>
      </c>
      <c r="I123" s="26">
        <f t="shared" si="89"/>
        <v>10</v>
      </c>
      <c r="J123" s="26">
        <f t="shared" si="89"/>
        <v>10</v>
      </c>
      <c r="K123" s="26">
        <f t="shared" si="89"/>
        <v>10</v>
      </c>
      <c r="L123" s="26">
        <f t="shared" si="89"/>
        <v>4</v>
      </c>
      <c r="M123" s="26">
        <f t="shared" si="89"/>
        <v>4</v>
      </c>
      <c r="N123" s="26">
        <f t="shared" si="89"/>
        <v>4</v>
      </c>
      <c r="O123" s="26">
        <f t="shared" si="89"/>
        <v>4</v>
      </c>
      <c r="P123" s="26">
        <f t="shared" si="89"/>
        <v>4</v>
      </c>
      <c r="Q123" s="26">
        <f t="shared" si="89"/>
        <v>4</v>
      </c>
      <c r="R123" s="26">
        <f t="shared" si="89"/>
        <v>4</v>
      </c>
      <c r="S123" s="26">
        <f t="shared" si="89"/>
        <v>4</v>
      </c>
      <c r="T123" s="26">
        <f t="shared" si="89"/>
        <v>2</v>
      </c>
      <c r="U123" s="26">
        <f t="shared" si="89"/>
        <v>2</v>
      </c>
      <c r="V123" s="26">
        <f t="shared" si="89"/>
        <v>2</v>
      </c>
      <c r="W123" s="26">
        <f t="shared" si="89"/>
        <v>2</v>
      </c>
      <c r="Z123" s="26">
        <f t="shared" si="95"/>
        <v>8</v>
      </c>
      <c r="AA123" s="26">
        <f t="shared" si="90"/>
        <v>8</v>
      </c>
      <c r="AB123" s="26">
        <f t="shared" si="91"/>
        <v>8</v>
      </c>
      <c r="AC123" s="26">
        <f t="shared" si="91"/>
        <v>8</v>
      </c>
      <c r="AD123" s="26">
        <f t="shared" si="91"/>
        <v>8</v>
      </c>
      <c r="AE123" s="26">
        <f t="shared" si="91"/>
        <v>8</v>
      </c>
      <c r="AF123" s="26">
        <f t="shared" si="91"/>
        <v>8</v>
      </c>
      <c r="AG123" s="26">
        <f t="shared" si="91"/>
        <v>8</v>
      </c>
      <c r="AH123" s="26">
        <f t="shared" si="91"/>
        <v>4</v>
      </c>
      <c r="AI123" s="26">
        <f t="shared" si="91"/>
        <v>4</v>
      </c>
      <c r="AJ123" s="26">
        <f t="shared" si="91"/>
        <v>4</v>
      </c>
      <c r="AK123" s="26">
        <f t="shared" si="91"/>
        <v>4</v>
      </c>
      <c r="AL123" s="26">
        <f t="shared" si="91"/>
        <v>4</v>
      </c>
      <c r="AM123" s="26">
        <f t="shared" si="91"/>
        <v>4</v>
      </c>
      <c r="AN123" s="26">
        <f t="shared" si="91"/>
        <v>4</v>
      </c>
      <c r="AO123" s="26">
        <f t="shared" si="91"/>
        <v>4</v>
      </c>
      <c r="AP123" s="26">
        <f t="shared" si="91"/>
        <v>2</v>
      </c>
      <c r="AQ123" s="26">
        <f t="shared" si="91"/>
        <v>2</v>
      </c>
      <c r="AR123" s="26">
        <f t="shared" si="91"/>
        <v>2</v>
      </c>
      <c r="AS123" s="26">
        <f t="shared" si="91"/>
        <v>2</v>
      </c>
      <c r="AV123" s="16">
        <f t="shared" si="96"/>
        <v>2</v>
      </c>
      <c r="AW123" s="16">
        <f t="shared" si="92"/>
        <v>2</v>
      </c>
      <c r="AX123" s="16">
        <f t="shared" si="92"/>
        <v>2</v>
      </c>
      <c r="AY123" s="16">
        <f t="shared" si="92"/>
        <v>2</v>
      </c>
      <c r="AZ123" s="16">
        <f t="shared" si="92"/>
        <v>2</v>
      </c>
      <c r="BA123" s="16">
        <f t="shared" si="92"/>
        <v>2</v>
      </c>
      <c r="BB123" s="16">
        <f t="shared" si="92"/>
        <v>2</v>
      </c>
      <c r="BC123" s="16">
        <f t="shared" si="92"/>
        <v>2</v>
      </c>
      <c r="BD123" s="16">
        <f t="shared" si="92"/>
        <v>0</v>
      </c>
      <c r="BE123" s="16">
        <f t="shared" ref="BE123:BE125" si="97">M123-AI123</f>
        <v>0</v>
      </c>
      <c r="BF123" s="16">
        <f t="shared" ref="BF123:BF125" si="98">N123-AJ123</f>
        <v>0</v>
      </c>
      <c r="BG123" s="16">
        <f t="shared" ref="BG123:BG125" si="99">O123-AK123</f>
        <v>0</v>
      </c>
      <c r="BH123" s="16">
        <f t="shared" ref="BH123:BH125" si="100">P123-AL123</f>
        <v>0</v>
      </c>
      <c r="BI123" s="16">
        <f t="shared" ref="BI123:BI125" si="101">Q123-AM123</f>
        <v>0</v>
      </c>
      <c r="BJ123" s="16">
        <f t="shared" ref="BJ123:BJ125" si="102">R123-AN123</f>
        <v>0</v>
      </c>
      <c r="BK123" s="16">
        <f t="shared" ref="BK123:BK125" si="103">S123-AO123</f>
        <v>0</v>
      </c>
      <c r="BL123" s="16">
        <f t="shared" ref="BL123:BL125" si="104">T123-AP123</f>
        <v>0</v>
      </c>
      <c r="BM123" s="16">
        <f t="shared" ref="BM123:BM125" si="105">U123-AQ123</f>
        <v>0</v>
      </c>
      <c r="BN123" s="16">
        <f t="shared" ref="BN123:BN125" si="106">V123-AR123</f>
        <v>0</v>
      </c>
      <c r="BO123" s="16">
        <f t="shared" ref="BO123:BO125" si="107">W123-AS123</f>
        <v>0</v>
      </c>
    </row>
    <row r="124" spans="1:68" x14ac:dyDescent="0.35">
      <c r="A124" s="7" t="str">
        <v>Internet exchange point session border controller - hardware</v>
      </c>
      <c r="C124" s="9">
        <v>8</v>
      </c>
      <c r="D124" s="26">
        <f t="shared" si="93"/>
        <v>4</v>
      </c>
      <c r="E124" s="26">
        <f t="shared" si="94"/>
        <v>4</v>
      </c>
      <c r="F124" s="26">
        <f t="shared" si="89"/>
        <v>4</v>
      </c>
      <c r="G124" s="26">
        <f t="shared" si="89"/>
        <v>4</v>
      </c>
      <c r="H124" s="26">
        <f t="shared" si="89"/>
        <v>4</v>
      </c>
      <c r="I124" s="26">
        <f t="shared" si="89"/>
        <v>4</v>
      </c>
      <c r="J124" s="26">
        <f t="shared" si="89"/>
        <v>4</v>
      </c>
      <c r="K124" s="26">
        <f t="shared" si="89"/>
        <v>4</v>
      </c>
      <c r="L124" s="26">
        <f t="shared" si="89"/>
        <v>2</v>
      </c>
      <c r="M124" s="26">
        <f t="shared" si="89"/>
        <v>2</v>
      </c>
      <c r="N124" s="26">
        <f t="shared" si="89"/>
        <v>2</v>
      </c>
      <c r="O124" s="26">
        <f t="shared" si="89"/>
        <v>2</v>
      </c>
      <c r="P124" s="26">
        <f t="shared" si="89"/>
        <v>2</v>
      </c>
      <c r="Q124" s="26">
        <f t="shared" si="89"/>
        <v>2</v>
      </c>
      <c r="R124" s="26">
        <f t="shared" si="89"/>
        <v>2</v>
      </c>
      <c r="S124" s="26">
        <f t="shared" si="89"/>
        <v>2</v>
      </c>
      <c r="T124" s="26">
        <f t="shared" si="89"/>
        <v>2</v>
      </c>
      <c r="U124" s="26">
        <f t="shared" si="89"/>
        <v>2</v>
      </c>
      <c r="V124" s="26">
        <f t="shared" si="89"/>
        <v>2</v>
      </c>
      <c r="W124" s="26">
        <f t="shared" si="89"/>
        <v>2</v>
      </c>
      <c r="Z124" s="26">
        <f t="shared" si="95"/>
        <v>4</v>
      </c>
      <c r="AA124" s="26">
        <f t="shared" si="90"/>
        <v>4</v>
      </c>
      <c r="AB124" s="26">
        <f t="shared" si="91"/>
        <v>4</v>
      </c>
      <c r="AC124" s="26">
        <f t="shared" si="91"/>
        <v>4</v>
      </c>
      <c r="AD124" s="26">
        <f t="shared" si="91"/>
        <v>4</v>
      </c>
      <c r="AE124" s="26">
        <f t="shared" si="91"/>
        <v>4</v>
      </c>
      <c r="AF124" s="26">
        <f t="shared" si="91"/>
        <v>4</v>
      </c>
      <c r="AG124" s="26">
        <f t="shared" si="91"/>
        <v>4</v>
      </c>
      <c r="AH124" s="26">
        <f t="shared" si="91"/>
        <v>2</v>
      </c>
      <c r="AI124" s="26">
        <f t="shared" si="91"/>
        <v>2</v>
      </c>
      <c r="AJ124" s="26">
        <f t="shared" si="91"/>
        <v>2</v>
      </c>
      <c r="AK124" s="26">
        <f t="shared" si="91"/>
        <v>2</v>
      </c>
      <c r="AL124" s="26">
        <f t="shared" si="91"/>
        <v>2</v>
      </c>
      <c r="AM124" s="26">
        <f t="shared" si="91"/>
        <v>2</v>
      </c>
      <c r="AN124" s="26">
        <f t="shared" si="91"/>
        <v>2</v>
      </c>
      <c r="AO124" s="26">
        <f t="shared" si="91"/>
        <v>2</v>
      </c>
      <c r="AP124" s="26">
        <f t="shared" si="91"/>
        <v>2</v>
      </c>
      <c r="AQ124" s="26">
        <f t="shared" si="91"/>
        <v>2</v>
      </c>
      <c r="AR124" s="26">
        <f t="shared" si="91"/>
        <v>2</v>
      </c>
      <c r="AS124" s="26">
        <f t="shared" si="91"/>
        <v>2</v>
      </c>
      <c r="AV124" s="16">
        <f t="shared" si="96"/>
        <v>0</v>
      </c>
      <c r="AW124" s="16">
        <f t="shared" ref="AW124:AW125" si="108">E124-AA124</f>
        <v>0</v>
      </c>
      <c r="AX124" s="16">
        <f t="shared" ref="AX124:AX125" si="109">F124-AB124</f>
        <v>0</v>
      </c>
      <c r="AY124" s="16">
        <f t="shared" ref="AY124:AY125" si="110">G124-AC124</f>
        <v>0</v>
      </c>
      <c r="AZ124" s="16">
        <f t="shared" ref="AZ124:AZ125" si="111">H124-AD124</f>
        <v>0</v>
      </c>
      <c r="BA124" s="16">
        <f t="shared" ref="BA124:BA125" si="112">I124-AE124</f>
        <v>0</v>
      </c>
      <c r="BB124" s="16">
        <f t="shared" ref="BB124:BB125" si="113">J124-AF124</f>
        <v>0</v>
      </c>
      <c r="BC124" s="16">
        <f t="shared" ref="BC124:BC125" si="114">K124-AG124</f>
        <v>0</v>
      </c>
      <c r="BD124" s="16">
        <f t="shared" ref="BD124:BD125" si="115">L124-AH124</f>
        <v>0</v>
      </c>
      <c r="BE124" s="16">
        <f t="shared" si="97"/>
        <v>0</v>
      </c>
      <c r="BF124" s="16">
        <f t="shared" si="98"/>
        <v>0</v>
      </c>
      <c r="BG124" s="16">
        <f t="shared" si="99"/>
        <v>0</v>
      </c>
      <c r="BH124" s="16">
        <f t="shared" si="100"/>
        <v>0</v>
      </c>
      <c r="BI124" s="16">
        <f t="shared" si="101"/>
        <v>0</v>
      </c>
      <c r="BJ124" s="16">
        <f t="shared" si="102"/>
        <v>0</v>
      </c>
      <c r="BK124" s="16">
        <f t="shared" si="103"/>
        <v>0</v>
      </c>
      <c r="BL124" s="16">
        <f t="shared" si="104"/>
        <v>0</v>
      </c>
      <c r="BM124" s="16">
        <f t="shared" si="105"/>
        <v>0</v>
      </c>
      <c r="BN124" s="16">
        <f t="shared" si="106"/>
        <v>0</v>
      </c>
      <c r="BO124" s="16">
        <f t="shared" si="107"/>
        <v>0</v>
      </c>
    </row>
    <row r="125" spans="1:68" x14ac:dyDescent="0.35">
      <c r="A125" s="7" t="str">
        <v>Internet exchange point session border controller - software</v>
      </c>
      <c r="C125" s="9">
        <v>8</v>
      </c>
      <c r="D125" s="26">
        <f t="shared" si="93"/>
        <v>8</v>
      </c>
      <c r="E125" s="26">
        <f t="shared" si="94"/>
        <v>8</v>
      </c>
      <c r="F125" s="26">
        <f t="shared" ref="F125:W125" si="116">E102+F58</f>
        <v>8</v>
      </c>
      <c r="G125" s="26">
        <f t="shared" si="116"/>
        <v>8</v>
      </c>
      <c r="H125" s="26">
        <f t="shared" si="116"/>
        <v>8</v>
      </c>
      <c r="I125" s="26">
        <f t="shared" si="116"/>
        <v>8</v>
      </c>
      <c r="J125" s="26">
        <f t="shared" si="116"/>
        <v>8</v>
      </c>
      <c r="K125" s="26">
        <f t="shared" si="116"/>
        <v>8</v>
      </c>
      <c r="L125" s="26">
        <f t="shared" si="116"/>
        <v>4</v>
      </c>
      <c r="M125" s="26">
        <f t="shared" si="116"/>
        <v>4</v>
      </c>
      <c r="N125" s="26">
        <f t="shared" si="116"/>
        <v>4</v>
      </c>
      <c r="O125" s="26">
        <f t="shared" si="116"/>
        <v>4</v>
      </c>
      <c r="P125" s="26">
        <f t="shared" si="116"/>
        <v>4</v>
      </c>
      <c r="Q125" s="26">
        <f t="shared" si="116"/>
        <v>4</v>
      </c>
      <c r="R125" s="26">
        <f t="shared" si="116"/>
        <v>4</v>
      </c>
      <c r="S125" s="26">
        <f t="shared" si="116"/>
        <v>4</v>
      </c>
      <c r="T125" s="26">
        <f t="shared" si="116"/>
        <v>2</v>
      </c>
      <c r="U125" s="26">
        <f t="shared" si="116"/>
        <v>2</v>
      </c>
      <c r="V125" s="26">
        <f t="shared" si="116"/>
        <v>2</v>
      </c>
      <c r="W125" s="26">
        <f t="shared" si="116"/>
        <v>2</v>
      </c>
      <c r="X125" s="15" t="s">
        <v>371</v>
      </c>
      <c r="Z125" s="26">
        <f t="shared" si="95"/>
        <v>6</v>
      </c>
      <c r="AA125" s="26">
        <f t="shared" ref="AA125:AS125" si="117">Z102+AA58</f>
        <v>6</v>
      </c>
      <c r="AB125" s="26">
        <f t="shared" si="117"/>
        <v>6</v>
      </c>
      <c r="AC125" s="26">
        <f t="shared" si="117"/>
        <v>6</v>
      </c>
      <c r="AD125" s="26">
        <f t="shared" si="117"/>
        <v>6</v>
      </c>
      <c r="AE125" s="26">
        <f t="shared" si="117"/>
        <v>6</v>
      </c>
      <c r="AF125" s="26">
        <f t="shared" si="117"/>
        <v>6</v>
      </c>
      <c r="AG125" s="26">
        <f t="shared" si="117"/>
        <v>6</v>
      </c>
      <c r="AH125" s="26">
        <f t="shared" si="117"/>
        <v>4</v>
      </c>
      <c r="AI125" s="26">
        <f t="shared" si="117"/>
        <v>4</v>
      </c>
      <c r="AJ125" s="26">
        <f t="shared" si="117"/>
        <v>4</v>
      </c>
      <c r="AK125" s="26">
        <f t="shared" si="117"/>
        <v>4</v>
      </c>
      <c r="AL125" s="26">
        <f t="shared" si="117"/>
        <v>4</v>
      </c>
      <c r="AM125" s="26">
        <f t="shared" si="117"/>
        <v>4</v>
      </c>
      <c r="AN125" s="26">
        <f t="shared" si="117"/>
        <v>4</v>
      </c>
      <c r="AO125" s="26">
        <f t="shared" si="117"/>
        <v>4</v>
      </c>
      <c r="AP125" s="26">
        <f t="shared" si="117"/>
        <v>2</v>
      </c>
      <c r="AQ125" s="26">
        <f t="shared" si="117"/>
        <v>2</v>
      </c>
      <c r="AR125" s="26">
        <f t="shared" si="117"/>
        <v>2</v>
      </c>
      <c r="AS125" s="26">
        <f t="shared" si="117"/>
        <v>2</v>
      </c>
      <c r="AT125" s="15" t="s">
        <v>372</v>
      </c>
      <c r="AV125" s="16">
        <f t="shared" si="96"/>
        <v>2</v>
      </c>
      <c r="AW125" s="16">
        <f t="shared" si="108"/>
        <v>2</v>
      </c>
      <c r="AX125" s="16">
        <f t="shared" si="109"/>
        <v>2</v>
      </c>
      <c r="AY125" s="16">
        <f t="shared" si="110"/>
        <v>2</v>
      </c>
      <c r="AZ125" s="16">
        <f t="shared" si="111"/>
        <v>2</v>
      </c>
      <c r="BA125" s="16">
        <f t="shared" si="112"/>
        <v>2</v>
      </c>
      <c r="BB125" s="16">
        <f t="shared" si="113"/>
        <v>2</v>
      </c>
      <c r="BC125" s="16">
        <f t="shared" si="114"/>
        <v>2</v>
      </c>
      <c r="BD125" s="16">
        <f t="shared" si="115"/>
        <v>0</v>
      </c>
      <c r="BE125" s="16">
        <f t="shared" si="97"/>
        <v>0</v>
      </c>
      <c r="BF125" s="16">
        <f t="shared" si="98"/>
        <v>0</v>
      </c>
      <c r="BG125" s="16">
        <f t="shared" si="99"/>
        <v>0</v>
      </c>
      <c r="BH125" s="16">
        <f t="shared" si="100"/>
        <v>0</v>
      </c>
      <c r="BI125" s="16">
        <f t="shared" si="101"/>
        <v>0</v>
      </c>
      <c r="BJ125" s="16">
        <f t="shared" si="102"/>
        <v>0</v>
      </c>
      <c r="BK125" s="16">
        <f t="shared" si="103"/>
        <v>0</v>
      </c>
      <c r="BL125" s="16">
        <f t="shared" si="104"/>
        <v>0</v>
      </c>
      <c r="BM125" s="16">
        <f t="shared" si="105"/>
        <v>0</v>
      </c>
      <c r="BN125" s="16">
        <f t="shared" si="106"/>
        <v>0</v>
      </c>
      <c r="BO125" s="16">
        <f t="shared" si="107"/>
        <v>0</v>
      </c>
      <c r="BP125" s="15" t="s">
        <v>377</v>
      </c>
    </row>
  </sheetData>
  <conditionalFormatting sqref="AV43:BO58">
    <cfRule type="cellIs" dxfId="9" priority="1" operator="lessThan">
      <formula>0</formula>
    </cfRule>
  </conditionalFormatting>
  <conditionalFormatting sqref="AV110:BO125">
    <cfRule type="cellIs" dxfId="8" priority="2" operator="lessThan">
      <formula>0</formula>
    </cfRule>
  </conditionalFormatting>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3EA5B-71A9-4539-BD6A-8C3B4C00345C}">
  <dimension ref="A1:BP27"/>
  <sheetViews>
    <sheetView zoomScale="90" zoomScaleNormal="90" workbookViewId="0">
      <pane xSplit="1" topLeftCell="B1" activePane="topRight" state="frozen"/>
      <selection pane="topRight" activeCell="D8" sqref="D8"/>
    </sheetView>
  </sheetViews>
  <sheetFormatPr defaultColWidth="15.54296875" defaultRowHeight="14.5" x14ac:dyDescent="0.35"/>
  <cols>
    <col min="1" max="1" width="59.54296875" style="12" customWidth="1"/>
    <col min="2" max="2" width="20.453125" style="12" customWidth="1"/>
    <col min="3" max="3" width="18" style="12" customWidth="1"/>
    <col min="4" max="4" width="14.453125" style="12" bestFit="1" customWidth="1"/>
    <col min="5" max="5" width="13.54296875" style="12" customWidth="1"/>
    <col min="6" max="6" width="17.453125" style="12" bestFit="1" customWidth="1"/>
    <col min="7" max="11" width="13.54296875" style="12" customWidth="1"/>
    <col min="12" max="12" width="14.453125" style="12" bestFit="1" customWidth="1"/>
    <col min="13" max="19" width="13.54296875" style="12" customWidth="1"/>
    <col min="20" max="20" width="14.453125" style="12" bestFit="1" customWidth="1"/>
    <col min="21" max="23" width="13.54296875" style="12" customWidth="1"/>
    <col min="24" max="24" width="27.453125" style="12" bestFit="1" customWidth="1"/>
    <col min="25" max="25" width="23.54296875" style="12" customWidth="1"/>
    <col min="26" max="45" width="15.453125" style="12" customWidth="1"/>
    <col min="46" max="46" width="8.54296875" style="12" bestFit="1" customWidth="1"/>
    <col min="47" max="16384" width="15.54296875" style="12"/>
  </cols>
  <sheetData>
    <row r="1" spans="1:67" ht="21" x14ac:dyDescent="0.5">
      <c r="A1" s="132" t="s">
        <v>153</v>
      </c>
      <c r="B1" s="90"/>
      <c r="C1" s="90"/>
      <c r="D1" s="90"/>
    </row>
    <row r="3" spans="1:67" x14ac:dyDescent="0.35">
      <c r="A3" s="79" t="s">
        <v>166</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row>
    <row r="4" spans="1:67" x14ac:dyDescent="0.35">
      <c r="A4" s="56"/>
    </row>
    <row r="5" spans="1:67" x14ac:dyDescent="0.35">
      <c r="D5" s="48" t="s">
        <v>97</v>
      </c>
      <c r="E5" s="49"/>
      <c r="F5" s="49"/>
      <c r="G5" s="49"/>
      <c r="H5" s="49"/>
      <c r="I5" s="49"/>
      <c r="J5" s="49"/>
      <c r="K5" s="49"/>
      <c r="L5" s="49"/>
      <c r="M5" s="49"/>
      <c r="N5" s="49"/>
      <c r="O5" s="49"/>
      <c r="P5" s="49"/>
      <c r="Q5" s="49"/>
      <c r="R5" s="49"/>
      <c r="S5" s="49"/>
      <c r="T5" s="49"/>
      <c r="U5" s="49"/>
      <c r="V5" s="49"/>
      <c r="W5" s="49"/>
      <c r="Y5" s="48" t="s">
        <v>378</v>
      </c>
      <c r="Z5" s="49"/>
      <c r="AA5" s="49"/>
      <c r="AB5" s="49"/>
      <c r="AC5" s="49"/>
      <c r="AD5" s="49"/>
      <c r="AE5" s="49"/>
      <c r="AF5" s="49"/>
      <c r="AG5" s="49"/>
      <c r="AH5" s="49"/>
      <c r="AI5" s="49"/>
      <c r="AJ5" s="49"/>
      <c r="AK5" s="49"/>
      <c r="AL5" s="49"/>
      <c r="AM5" s="49"/>
      <c r="AN5" s="49"/>
      <c r="AO5" s="49"/>
      <c r="AP5" s="49"/>
      <c r="AQ5" s="49"/>
      <c r="AR5" s="49"/>
      <c r="AS5" s="49"/>
      <c r="AU5" s="48" t="s">
        <v>375</v>
      </c>
      <c r="AV5" s="49"/>
      <c r="AW5" s="49"/>
      <c r="AX5" s="49"/>
      <c r="AY5" s="49"/>
      <c r="AZ5" s="49"/>
      <c r="BA5" s="49"/>
      <c r="BB5" s="49"/>
      <c r="BC5" s="49"/>
      <c r="BD5" s="49"/>
      <c r="BE5" s="49"/>
      <c r="BF5" s="49"/>
      <c r="BG5" s="49"/>
      <c r="BH5" s="49"/>
      <c r="BI5" s="49"/>
      <c r="BJ5" s="49"/>
      <c r="BK5" s="49"/>
      <c r="BL5" s="49"/>
      <c r="BM5" s="49"/>
      <c r="BN5" s="49"/>
      <c r="BO5" s="49"/>
    </row>
    <row r="6" spans="1:67" x14ac:dyDescent="0.35">
      <c r="A6" s="56"/>
    </row>
    <row r="7" spans="1:67" x14ac:dyDescent="0.35">
      <c r="A7" s="56"/>
      <c r="C7" s="29" t="s">
        <v>167</v>
      </c>
      <c r="D7" s="53" cm="1">
        <f t="array" ref="D7:W7">years</f>
        <v>2018</v>
      </c>
      <c r="E7" s="52">
        <v>2019</v>
      </c>
      <c r="F7" s="52">
        <v>2020</v>
      </c>
      <c r="G7" s="52">
        <v>2021</v>
      </c>
      <c r="H7" s="52">
        <v>2022</v>
      </c>
      <c r="I7" s="52">
        <v>2023</v>
      </c>
      <c r="J7" s="52">
        <v>2024</v>
      </c>
      <c r="K7" s="52">
        <v>2025</v>
      </c>
      <c r="L7" s="52">
        <v>2026</v>
      </c>
      <c r="M7" s="52">
        <v>2027</v>
      </c>
      <c r="N7" s="52">
        <v>2028</v>
      </c>
      <c r="O7" s="52">
        <v>2029</v>
      </c>
      <c r="P7" s="52">
        <v>2030</v>
      </c>
      <c r="Q7" s="52">
        <v>2031</v>
      </c>
      <c r="R7" s="52">
        <v>2032</v>
      </c>
      <c r="S7" s="52">
        <v>2033</v>
      </c>
      <c r="T7" s="52">
        <v>2034</v>
      </c>
      <c r="U7" s="52">
        <v>2035</v>
      </c>
      <c r="V7" s="52">
        <v>2036</v>
      </c>
      <c r="W7" s="52">
        <v>2037</v>
      </c>
      <c r="Z7" s="191" cm="1">
        <f t="array" ref="Z7:AS7">years</f>
        <v>2018</v>
      </c>
      <c r="AA7" s="192">
        <v>2019</v>
      </c>
      <c r="AB7" s="192">
        <v>2020</v>
      </c>
      <c r="AC7" s="192">
        <v>2021</v>
      </c>
      <c r="AD7" s="192">
        <v>2022</v>
      </c>
      <c r="AE7" s="192">
        <v>2023</v>
      </c>
      <c r="AF7" s="192">
        <v>2024</v>
      </c>
      <c r="AG7" s="192">
        <v>2025</v>
      </c>
      <c r="AH7" s="192">
        <v>2026</v>
      </c>
      <c r="AI7" s="192">
        <v>2027</v>
      </c>
      <c r="AJ7" s="192">
        <v>2028</v>
      </c>
      <c r="AK7" s="192">
        <v>2029</v>
      </c>
      <c r="AL7" s="192">
        <v>2030</v>
      </c>
      <c r="AM7" s="192">
        <v>2031</v>
      </c>
      <c r="AN7" s="192">
        <v>2032</v>
      </c>
      <c r="AO7" s="192">
        <v>2033</v>
      </c>
      <c r="AP7" s="192">
        <v>2034</v>
      </c>
      <c r="AQ7" s="192">
        <v>2035</v>
      </c>
      <c r="AR7" s="192">
        <v>2036</v>
      </c>
      <c r="AS7" s="192">
        <v>2037</v>
      </c>
      <c r="AV7" s="191" cm="1">
        <f t="array" ref="AV7:BO7">years</f>
        <v>2018</v>
      </c>
      <c r="AW7" s="192">
        <v>2019</v>
      </c>
      <c r="AX7" s="192">
        <v>2020</v>
      </c>
      <c r="AY7" s="192">
        <v>2021</v>
      </c>
      <c r="AZ7" s="192">
        <v>2022</v>
      </c>
      <c r="BA7" s="192">
        <v>2023</v>
      </c>
      <c r="BB7" s="192">
        <v>2024</v>
      </c>
      <c r="BC7" s="192">
        <v>2025</v>
      </c>
      <c r="BD7" s="192">
        <v>2026</v>
      </c>
      <c r="BE7" s="192">
        <v>2027</v>
      </c>
      <c r="BF7" s="192">
        <v>2028</v>
      </c>
      <c r="BG7" s="192">
        <v>2029</v>
      </c>
      <c r="BH7" s="192">
        <v>2030</v>
      </c>
      <c r="BI7" s="192">
        <v>2031</v>
      </c>
      <c r="BJ7" s="192">
        <v>2032</v>
      </c>
      <c r="BK7" s="192">
        <v>2033</v>
      </c>
      <c r="BL7" s="192">
        <v>2034</v>
      </c>
      <c r="BM7" s="192">
        <v>2035</v>
      </c>
      <c r="BN7" s="192">
        <v>2036</v>
      </c>
      <c r="BO7" s="192">
        <v>2037</v>
      </c>
    </row>
    <row r="8" spans="1:67" x14ac:dyDescent="0.35">
      <c r="A8" s="41" t="str" cm="1">
        <f t="array" ref="A8:A23">core_elements</f>
        <v>Application server hardware</v>
      </c>
      <c r="B8" s="17"/>
      <c r="C8" s="17"/>
      <c r="D8" s="5" cm="1">
        <f t="array" ref="D8:W23">unit_costs_core_capex*core_increm_capex</f>
        <v>30143248.916003183</v>
      </c>
      <c r="E8" s="207">
        <v>0</v>
      </c>
      <c r="F8" s="207">
        <v>0</v>
      </c>
      <c r="G8" s="207">
        <v>0</v>
      </c>
      <c r="H8" s="207">
        <v>0</v>
      </c>
      <c r="I8" s="207">
        <v>0</v>
      </c>
      <c r="J8" s="207">
        <v>0</v>
      </c>
      <c r="K8" s="207">
        <v>0</v>
      </c>
      <c r="L8" s="207">
        <v>36977790.627411477</v>
      </c>
      <c r="M8" s="5">
        <v>0</v>
      </c>
      <c r="N8" s="5">
        <v>0</v>
      </c>
      <c r="O8" s="5">
        <v>0</v>
      </c>
      <c r="P8" s="5">
        <v>0</v>
      </c>
      <c r="Q8" s="5">
        <v>0</v>
      </c>
      <c r="R8" s="5">
        <v>0</v>
      </c>
      <c r="S8" s="5">
        <v>0</v>
      </c>
      <c r="T8" s="5">
        <v>42278384.994193189</v>
      </c>
      <c r="U8" s="5">
        <v>0</v>
      </c>
      <c r="V8" s="5">
        <v>0</v>
      </c>
      <c r="W8" s="5">
        <v>0</v>
      </c>
      <c r="X8" s="81"/>
      <c r="Y8" s="81"/>
      <c r="Z8" s="5" cm="1">
        <f t="array" ref="Z8:AS23">unit_costs_core_capex*core_increm_noincoming_capex</f>
        <v>30143248.916003183</v>
      </c>
      <c r="AA8" s="207">
        <v>0</v>
      </c>
      <c r="AB8" s="207">
        <v>0</v>
      </c>
      <c r="AC8" s="207">
        <v>0</v>
      </c>
      <c r="AD8" s="207">
        <v>0</v>
      </c>
      <c r="AE8" s="207">
        <v>0</v>
      </c>
      <c r="AF8" s="207">
        <v>0</v>
      </c>
      <c r="AG8" s="207">
        <v>0</v>
      </c>
      <c r="AH8" s="207">
        <v>36977790.627411477</v>
      </c>
      <c r="AI8" s="5">
        <v>0</v>
      </c>
      <c r="AJ8" s="5">
        <v>0</v>
      </c>
      <c r="AK8" s="5">
        <v>0</v>
      </c>
      <c r="AL8" s="5">
        <v>0</v>
      </c>
      <c r="AM8" s="5">
        <v>0</v>
      </c>
      <c r="AN8" s="5">
        <v>0</v>
      </c>
      <c r="AO8" s="5">
        <v>0</v>
      </c>
      <c r="AP8" s="5">
        <v>42278384.994193189</v>
      </c>
      <c r="AQ8" s="5">
        <v>0</v>
      </c>
      <c r="AR8" s="5">
        <v>0</v>
      </c>
      <c r="AS8" s="5">
        <v>0</v>
      </c>
      <c r="AV8" s="5" cm="1">
        <f t="array" ref="AV8:BO23">unit_costs_core_capex*core_increm_incoming_only_capex</f>
        <v>0</v>
      </c>
      <c r="AW8" s="207">
        <v>0</v>
      </c>
      <c r="AX8" s="207">
        <v>0</v>
      </c>
      <c r="AY8" s="207">
        <v>0</v>
      </c>
      <c r="AZ8" s="207">
        <v>0</v>
      </c>
      <c r="BA8" s="207">
        <v>0</v>
      </c>
      <c r="BB8" s="207">
        <v>0</v>
      </c>
      <c r="BC8" s="207">
        <v>0</v>
      </c>
      <c r="BD8" s="207">
        <v>0</v>
      </c>
      <c r="BE8" s="5">
        <v>0</v>
      </c>
      <c r="BF8" s="5">
        <v>0</v>
      </c>
      <c r="BG8" s="5">
        <v>0</v>
      </c>
      <c r="BH8" s="5">
        <v>0</v>
      </c>
      <c r="BI8" s="5">
        <v>0</v>
      </c>
      <c r="BJ8" s="5">
        <v>0</v>
      </c>
      <c r="BK8" s="5">
        <v>0</v>
      </c>
      <c r="BL8" s="5">
        <v>0</v>
      </c>
      <c r="BM8" s="5">
        <v>0</v>
      </c>
      <c r="BN8" s="5">
        <v>0</v>
      </c>
      <c r="BO8" s="5">
        <v>0</v>
      </c>
    </row>
    <row r="9" spans="1:67" x14ac:dyDescent="0.35">
      <c r="A9" s="41" t="str">
        <v>Application server software</v>
      </c>
      <c r="B9" s="17"/>
      <c r="C9" s="17"/>
      <c r="D9" s="5">
        <v>0</v>
      </c>
      <c r="E9" s="5">
        <v>0</v>
      </c>
      <c r="F9" s="5">
        <v>0</v>
      </c>
      <c r="G9" s="5">
        <v>0</v>
      </c>
      <c r="H9" s="5">
        <v>0</v>
      </c>
      <c r="I9" s="5">
        <v>0</v>
      </c>
      <c r="J9" s="5">
        <v>0</v>
      </c>
      <c r="K9" s="5">
        <v>0</v>
      </c>
      <c r="L9" s="5">
        <v>0</v>
      </c>
      <c r="M9" s="5">
        <v>0</v>
      </c>
      <c r="N9" s="5">
        <v>0</v>
      </c>
      <c r="O9" s="5">
        <v>0</v>
      </c>
      <c r="P9" s="5">
        <v>0</v>
      </c>
      <c r="Q9" s="5">
        <v>0</v>
      </c>
      <c r="R9" s="5">
        <v>0</v>
      </c>
      <c r="S9" s="5">
        <v>0</v>
      </c>
      <c r="T9" s="5">
        <v>0</v>
      </c>
      <c r="U9" s="5">
        <v>0</v>
      </c>
      <c r="V9" s="5">
        <v>0</v>
      </c>
      <c r="W9" s="5">
        <v>0</v>
      </c>
      <c r="X9" s="81"/>
      <c r="Y9" s="81"/>
      <c r="Z9" s="5">
        <v>0</v>
      </c>
      <c r="AA9" s="5">
        <v>0</v>
      </c>
      <c r="AB9" s="5">
        <v>0</v>
      </c>
      <c r="AC9" s="5">
        <v>0</v>
      </c>
      <c r="AD9" s="5">
        <v>0</v>
      </c>
      <c r="AE9" s="5">
        <v>0</v>
      </c>
      <c r="AF9" s="5">
        <v>0</v>
      </c>
      <c r="AG9" s="5">
        <v>0</v>
      </c>
      <c r="AH9" s="5">
        <v>0</v>
      </c>
      <c r="AI9" s="5">
        <v>0</v>
      </c>
      <c r="AJ9" s="5">
        <v>0</v>
      </c>
      <c r="AK9" s="5">
        <v>0</v>
      </c>
      <c r="AL9" s="5">
        <v>0</v>
      </c>
      <c r="AM9" s="5">
        <v>0</v>
      </c>
      <c r="AN9" s="5">
        <v>0</v>
      </c>
      <c r="AO9" s="5">
        <v>0</v>
      </c>
      <c r="AP9" s="5">
        <v>0</v>
      </c>
      <c r="AQ9" s="5">
        <v>0</v>
      </c>
      <c r="AR9" s="5">
        <v>0</v>
      </c>
      <c r="AS9" s="5">
        <v>0</v>
      </c>
      <c r="AV9" s="5">
        <v>0</v>
      </c>
      <c r="AW9" s="5">
        <v>0</v>
      </c>
      <c r="AX9" s="5">
        <v>0</v>
      </c>
      <c r="AY9" s="5">
        <v>0</v>
      </c>
      <c r="AZ9" s="5">
        <v>0</v>
      </c>
      <c r="BA9" s="5">
        <v>0</v>
      </c>
      <c r="BB9" s="5">
        <v>0</v>
      </c>
      <c r="BC9" s="5">
        <v>0</v>
      </c>
      <c r="BD9" s="5">
        <v>0</v>
      </c>
      <c r="BE9" s="5">
        <v>0</v>
      </c>
      <c r="BF9" s="5">
        <v>0</v>
      </c>
      <c r="BG9" s="5">
        <v>0</v>
      </c>
      <c r="BH9" s="5">
        <v>0</v>
      </c>
      <c r="BI9" s="5">
        <v>0</v>
      </c>
      <c r="BJ9" s="5">
        <v>0</v>
      </c>
      <c r="BK9" s="5">
        <v>0</v>
      </c>
      <c r="BL9" s="5">
        <v>0</v>
      </c>
      <c r="BM9" s="5">
        <v>0</v>
      </c>
      <c r="BN9" s="5">
        <v>0</v>
      </c>
      <c r="BO9" s="5">
        <v>0</v>
      </c>
    </row>
    <row r="10" spans="1:67" x14ac:dyDescent="0.35">
      <c r="A10" s="41" t="str">
        <v>Charging data function hardware</v>
      </c>
      <c r="B10" s="17"/>
      <c r="C10" s="17"/>
      <c r="D10" s="5">
        <v>3092751.0994943986</v>
      </c>
      <c r="E10" s="5">
        <v>0</v>
      </c>
      <c r="F10" s="5">
        <v>0</v>
      </c>
      <c r="G10" s="5">
        <v>0</v>
      </c>
      <c r="H10" s="5">
        <v>0</v>
      </c>
      <c r="I10" s="5">
        <v>0</v>
      </c>
      <c r="J10" s="5">
        <v>0</v>
      </c>
      <c r="K10" s="5">
        <v>0</v>
      </c>
      <c r="L10" s="5">
        <v>3793987.2685417347</v>
      </c>
      <c r="M10" s="5">
        <v>0</v>
      </c>
      <c r="N10" s="5">
        <v>0</v>
      </c>
      <c r="O10" s="5">
        <v>0</v>
      </c>
      <c r="P10" s="5">
        <v>0</v>
      </c>
      <c r="Q10" s="5">
        <v>0</v>
      </c>
      <c r="R10" s="5">
        <v>0</v>
      </c>
      <c r="S10" s="5">
        <v>0</v>
      </c>
      <c r="T10" s="5">
        <v>4337837.7042236896</v>
      </c>
      <c r="U10" s="5">
        <v>0</v>
      </c>
      <c r="V10" s="5">
        <v>0</v>
      </c>
      <c r="W10" s="5">
        <v>0</v>
      </c>
      <c r="X10" s="81"/>
      <c r="Y10" s="81"/>
      <c r="Z10" s="5">
        <v>3092751.0994943986</v>
      </c>
      <c r="AA10" s="5">
        <v>0</v>
      </c>
      <c r="AB10" s="5">
        <v>0</v>
      </c>
      <c r="AC10" s="5">
        <v>0</v>
      </c>
      <c r="AD10" s="5">
        <v>0</v>
      </c>
      <c r="AE10" s="5">
        <v>0</v>
      </c>
      <c r="AF10" s="5">
        <v>0</v>
      </c>
      <c r="AG10" s="5">
        <v>0</v>
      </c>
      <c r="AH10" s="5">
        <v>3793987.2685417347</v>
      </c>
      <c r="AI10" s="5">
        <v>0</v>
      </c>
      <c r="AJ10" s="5">
        <v>0</v>
      </c>
      <c r="AK10" s="5">
        <v>0</v>
      </c>
      <c r="AL10" s="5">
        <v>0</v>
      </c>
      <c r="AM10" s="5">
        <v>0</v>
      </c>
      <c r="AN10" s="5">
        <v>0</v>
      </c>
      <c r="AO10" s="5">
        <v>0</v>
      </c>
      <c r="AP10" s="5">
        <v>4337837.7042236896</v>
      </c>
      <c r="AQ10" s="5">
        <v>0</v>
      </c>
      <c r="AR10" s="5">
        <v>0</v>
      </c>
      <c r="AS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row>
    <row r="11" spans="1:67" x14ac:dyDescent="0.35">
      <c r="A11" s="41" t="str">
        <v>Charging data function software</v>
      </c>
      <c r="B11" s="17"/>
      <c r="C11" s="17"/>
      <c r="D11" s="5">
        <v>309338.69447039987</v>
      </c>
      <c r="E11" s="5">
        <v>0</v>
      </c>
      <c r="F11" s="5">
        <v>0</v>
      </c>
      <c r="G11" s="5">
        <v>0</v>
      </c>
      <c r="H11" s="5">
        <v>0</v>
      </c>
      <c r="I11" s="5">
        <v>0</v>
      </c>
      <c r="J11" s="5">
        <v>0</v>
      </c>
      <c r="K11" s="5">
        <v>0</v>
      </c>
      <c r="L11" s="5">
        <v>167150.46362827352</v>
      </c>
      <c r="M11" s="5">
        <v>0</v>
      </c>
      <c r="N11" s="5">
        <v>0</v>
      </c>
      <c r="O11" s="5">
        <v>0</v>
      </c>
      <c r="P11" s="5">
        <v>0</v>
      </c>
      <c r="Q11" s="5">
        <v>0</v>
      </c>
      <c r="R11" s="5">
        <v>0</v>
      </c>
      <c r="S11" s="5">
        <v>0</v>
      </c>
      <c r="T11" s="5">
        <v>87807.621428527433</v>
      </c>
      <c r="U11" s="5">
        <v>0</v>
      </c>
      <c r="V11" s="5">
        <v>0</v>
      </c>
      <c r="W11" s="5">
        <v>0</v>
      </c>
      <c r="X11" s="81"/>
      <c r="Y11" s="81"/>
      <c r="Z11" s="5">
        <v>228321.41734719989</v>
      </c>
      <c r="AA11" s="5">
        <v>0</v>
      </c>
      <c r="AB11" s="5">
        <v>0</v>
      </c>
      <c r="AC11" s="5">
        <v>0</v>
      </c>
      <c r="AD11" s="5">
        <v>0</v>
      </c>
      <c r="AE11" s="5">
        <v>0</v>
      </c>
      <c r="AF11" s="5">
        <v>0</v>
      </c>
      <c r="AG11" s="5">
        <v>0</v>
      </c>
      <c r="AH11" s="5">
        <v>117457.08254959762</v>
      </c>
      <c r="AI11" s="5">
        <v>0</v>
      </c>
      <c r="AJ11" s="5">
        <v>0</v>
      </c>
      <c r="AK11" s="5">
        <v>0</v>
      </c>
      <c r="AL11" s="5">
        <v>0</v>
      </c>
      <c r="AM11" s="5">
        <v>0</v>
      </c>
      <c r="AN11" s="5">
        <v>0</v>
      </c>
      <c r="AO11" s="5">
        <v>0</v>
      </c>
      <c r="AP11" s="5">
        <v>61981.850420137009</v>
      </c>
      <c r="AQ11" s="5">
        <v>0</v>
      </c>
      <c r="AR11" s="5">
        <v>0</v>
      </c>
      <c r="AS11" s="5">
        <v>0</v>
      </c>
      <c r="AV11" s="5">
        <v>81017.277123199965</v>
      </c>
      <c r="AW11" s="5">
        <v>0</v>
      </c>
      <c r="AX11" s="5">
        <v>0</v>
      </c>
      <c r="AY11" s="5">
        <v>0</v>
      </c>
      <c r="AZ11" s="5">
        <v>0</v>
      </c>
      <c r="BA11" s="5">
        <v>0</v>
      </c>
      <c r="BB11" s="5">
        <v>0</v>
      </c>
      <c r="BC11" s="5">
        <v>0</v>
      </c>
      <c r="BD11" s="5">
        <v>49693.381078675913</v>
      </c>
      <c r="BE11" s="5">
        <v>0</v>
      </c>
      <c r="BF11" s="5">
        <v>0</v>
      </c>
      <c r="BG11" s="5">
        <v>0</v>
      </c>
      <c r="BH11" s="5">
        <v>0</v>
      </c>
      <c r="BI11" s="5">
        <v>0</v>
      </c>
      <c r="BJ11" s="5">
        <v>0</v>
      </c>
      <c r="BK11" s="5">
        <v>0</v>
      </c>
      <c r="BL11" s="5">
        <v>25825.77100839042</v>
      </c>
      <c r="BM11" s="5">
        <v>0</v>
      </c>
      <c r="BN11" s="5">
        <v>0</v>
      </c>
      <c r="BO11" s="5">
        <v>0</v>
      </c>
    </row>
    <row r="12" spans="1:67" x14ac:dyDescent="0.35">
      <c r="A12" s="41" t="str">
        <v>Proxy - Call session control function hardware</v>
      </c>
      <c r="B12" s="17"/>
      <c r="C12" s="17"/>
      <c r="D12" s="5">
        <v>10485378.935358394</v>
      </c>
      <c r="E12" s="5">
        <v>0</v>
      </c>
      <c r="F12" s="5">
        <v>0</v>
      </c>
      <c r="G12" s="5">
        <v>0</v>
      </c>
      <c r="H12" s="5">
        <v>0</v>
      </c>
      <c r="I12" s="5">
        <v>0</v>
      </c>
      <c r="J12" s="5">
        <v>0</v>
      </c>
      <c r="K12" s="5">
        <v>0</v>
      </c>
      <c r="L12" s="5">
        <v>12862785.56107825</v>
      </c>
      <c r="M12" s="5">
        <v>0</v>
      </c>
      <c r="N12" s="5">
        <v>0</v>
      </c>
      <c r="O12" s="5">
        <v>0</v>
      </c>
      <c r="P12" s="5">
        <v>0</v>
      </c>
      <c r="Q12" s="5">
        <v>0</v>
      </c>
      <c r="R12" s="5">
        <v>0</v>
      </c>
      <c r="S12" s="5">
        <v>0</v>
      </c>
      <c r="T12" s="5">
        <v>14706606.068721848</v>
      </c>
      <c r="U12" s="5">
        <v>0</v>
      </c>
      <c r="V12" s="5">
        <v>0</v>
      </c>
      <c r="W12" s="5">
        <v>0</v>
      </c>
      <c r="X12" s="81"/>
      <c r="Y12" s="81"/>
      <c r="Z12" s="5">
        <v>10485378.935358394</v>
      </c>
      <c r="AA12" s="5">
        <v>0</v>
      </c>
      <c r="AB12" s="5">
        <v>0</v>
      </c>
      <c r="AC12" s="5">
        <v>0</v>
      </c>
      <c r="AD12" s="5">
        <v>0</v>
      </c>
      <c r="AE12" s="5">
        <v>0</v>
      </c>
      <c r="AF12" s="5">
        <v>0</v>
      </c>
      <c r="AG12" s="5">
        <v>0</v>
      </c>
      <c r="AH12" s="5">
        <v>12862785.56107825</v>
      </c>
      <c r="AI12" s="5">
        <v>0</v>
      </c>
      <c r="AJ12" s="5">
        <v>0</v>
      </c>
      <c r="AK12" s="5">
        <v>0</v>
      </c>
      <c r="AL12" s="5">
        <v>0</v>
      </c>
      <c r="AM12" s="5">
        <v>0</v>
      </c>
      <c r="AN12" s="5">
        <v>0</v>
      </c>
      <c r="AO12" s="5">
        <v>0</v>
      </c>
      <c r="AP12" s="5">
        <v>14706606.068721848</v>
      </c>
      <c r="AQ12" s="5">
        <v>0</v>
      </c>
      <c r="AR12" s="5">
        <v>0</v>
      </c>
      <c r="AS12" s="5">
        <v>0</v>
      </c>
      <c r="AV12" s="5">
        <v>0</v>
      </c>
      <c r="AW12" s="5">
        <v>0</v>
      </c>
      <c r="AX12" s="5">
        <v>0</v>
      </c>
      <c r="AY12" s="5">
        <v>0</v>
      </c>
      <c r="AZ12" s="5">
        <v>0</v>
      </c>
      <c r="BA12" s="5">
        <v>0</v>
      </c>
      <c r="BB12" s="5">
        <v>0</v>
      </c>
      <c r="BC12" s="5">
        <v>0</v>
      </c>
      <c r="BD12" s="5">
        <v>0</v>
      </c>
      <c r="BE12" s="5">
        <v>0</v>
      </c>
      <c r="BF12" s="5">
        <v>0</v>
      </c>
      <c r="BG12" s="5">
        <v>0</v>
      </c>
      <c r="BH12" s="5">
        <v>0</v>
      </c>
      <c r="BI12" s="5">
        <v>0</v>
      </c>
      <c r="BJ12" s="5">
        <v>0</v>
      </c>
      <c r="BK12" s="5">
        <v>0</v>
      </c>
      <c r="BL12" s="5">
        <v>0</v>
      </c>
      <c r="BM12" s="5">
        <v>0</v>
      </c>
      <c r="BN12" s="5">
        <v>0</v>
      </c>
      <c r="BO12" s="5">
        <v>0</v>
      </c>
    </row>
    <row r="13" spans="1:67" x14ac:dyDescent="0.35">
      <c r="A13" s="41" t="str">
        <v>Proxy - Call session control function software</v>
      </c>
      <c r="B13" s="17"/>
      <c r="C13" s="17"/>
      <c r="D13" s="5">
        <v>20434475.423519988</v>
      </c>
      <c r="E13" s="5">
        <v>0</v>
      </c>
      <c r="F13" s="5">
        <v>0</v>
      </c>
      <c r="G13" s="5">
        <v>0</v>
      </c>
      <c r="H13" s="5">
        <v>0</v>
      </c>
      <c r="I13" s="5">
        <v>0</v>
      </c>
      <c r="J13" s="5">
        <v>0</v>
      </c>
      <c r="K13" s="5">
        <v>0</v>
      </c>
      <c r="L13" s="5">
        <v>11085946.55718532</v>
      </c>
      <c r="M13" s="5">
        <v>0</v>
      </c>
      <c r="N13" s="5">
        <v>0</v>
      </c>
      <c r="O13" s="5">
        <v>0</v>
      </c>
      <c r="P13" s="5">
        <v>0</v>
      </c>
      <c r="Q13" s="5">
        <v>0</v>
      </c>
      <c r="R13" s="5">
        <v>0</v>
      </c>
      <c r="S13" s="5">
        <v>0</v>
      </c>
      <c r="T13" s="5">
        <v>5685385.5601204811</v>
      </c>
      <c r="U13" s="5">
        <v>0</v>
      </c>
      <c r="V13" s="5">
        <v>0</v>
      </c>
      <c r="W13" s="5">
        <v>0</v>
      </c>
      <c r="X13" s="81"/>
      <c r="Y13" s="81"/>
      <c r="Z13" s="5">
        <v>15093375.662879992</v>
      </c>
      <c r="AA13" s="5">
        <v>0</v>
      </c>
      <c r="AB13" s="5">
        <v>0</v>
      </c>
      <c r="AC13" s="5">
        <v>0</v>
      </c>
      <c r="AD13" s="5">
        <v>0</v>
      </c>
      <c r="AE13" s="5">
        <v>0</v>
      </c>
      <c r="AF13" s="5">
        <v>0</v>
      </c>
      <c r="AG13" s="5">
        <v>0</v>
      </c>
      <c r="AH13" s="5">
        <v>7722136.91582302</v>
      </c>
      <c r="AI13" s="5">
        <v>0</v>
      </c>
      <c r="AJ13" s="5">
        <v>0</v>
      </c>
      <c r="AK13" s="5">
        <v>0</v>
      </c>
      <c r="AL13" s="5">
        <v>0</v>
      </c>
      <c r="AM13" s="5">
        <v>0</v>
      </c>
      <c r="AN13" s="5">
        <v>0</v>
      </c>
      <c r="AO13" s="5">
        <v>0</v>
      </c>
      <c r="AP13" s="5">
        <v>3946326.44761304</v>
      </c>
      <c r="AQ13" s="5">
        <v>0</v>
      </c>
      <c r="AR13" s="5">
        <v>0</v>
      </c>
      <c r="AS13" s="5">
        <v>0</v>
      </c>
      <c r="AV13" s="5">
        <v>5341099.7606399972</v>
      </c>
      <c r="AW13" s="5">
        <v>0</v>
      </c>
      <c r="AX13" s="5">
        <v>0</v>
      </c>
      <c r="AY13" s="5">
        <v>0</v>
      </c>
      <c r="AZ13" s="5">
        <v>0</v>
      </c>
      <c r="BA13" s="5">
        <v>0</v>
      </c>
      <c r="BB13" s="5">
        <v>0</v>
      </c>
      <c r="BC13" s="5">
        <v>0</v>
      </c>
      <c r="BD13" s="5">
        <v>3363809.6413623001</v>
      </c>
      <c r="BE13" s="5">
        <v>0</v>
      </c>
      <c r="BF13" s="5">
        <v>0</v>
      </c>
      <c r="BG13" s="5">
        <v>0</v>
      </c>
      <c r="BH13" s="5">
        <v>0</v>
      </c>
      <c r="BI13" s="5">
        <v>0</v>
      </c>
      <c r="BJ13" s="5">
        <v>0</v>
      </c>
      <c r="BK13" s="5">
        <v>0</v>
      </c>
      <c r="BL13" s="5">
        <v>1739059.1125074413</v>
      </c>
      <c r="BM13" s="5">
        <v>0</v>
      </c>
      <c r="BN13" s="5">
        <v>0</v>
      </c>
      <c r="BO13" s="5">
        <v>0</v>
      </c>
    </row>
    <row r="14" spans="1:67" x14ac:dyDescent="0.35">
      <c r="A14" s="41" t="str">
        <v>Interrogating - Call session control function hardware</v>
      </c>
      <c r="B14" s="17"/>
      <c r="C14" s="17"/>
      <c r="D14" s="5">
        <v>0</v>
      </c>
      <c r="E14" s="5">
        <v>0</v>
      </c>
      <c r="F14" s="5">
        <v>0</v>
      </c>
      <c r="G14" s="5">
        <v>0</v>
      </c>
      <c r="H14" s="5">
        <v>0</v>
      </c>
      <c r="I14" s="5">
        <v>0</v>
      </c>
      <c r="J14" s="5">
        <v>0</v>
      </c>
      <c r="K14" s="5">
        <v>0</v>
      </c>
      <c r="L14" s="5">
        <v>0</v>
      </c>
      <c r="M14" s="5">
        <v>0</v>
      </c>
      <c r="N14" s="5">
        <v>0</v>
      </c>
      <c r="O14" s="5">
        <v>0</v>
      </c>
      <c r="P14" s="5">
        <v>0</v>
      </c>
      <c r="Q14" s="5">
        <v>0</v>
      </c>
      <c r="R14" s="5">
        <v>0</v>
      </c>
      <c r="S14" s="5">
        <v>0</v>
      </c>
      <c r="T14" s="5">
        <v>0</v>
      </c>
      <c r="U14" s="5">
        <v>0</v>
      </c>
      <c r="V14" s="5">
        <v>0</v>
      </c>
      <c r="W14" s="5">
        <v>0</v>
      </c>
      <c r="X14" s="81"/>
      <c r="Y14" s="81"/>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row>
    <row r="15" spans="1:67" x14ac:dyDescent="0.35">
      <c r="A15" s="41" t="str">
        <v>Interrogating - Call session control function software</v>
      </c>
      <c r="B15" s="17"/>
      <c r="C15" s="17"/>
      <c r="D15" s="5">
        <v>4086895.0847039972</v>
      </c>
      <c r="E15" s="5">
        <v>0</v>
      </c>
      <c r="F15" s="5">
        <v>0</v>
      </c>
      <c r="G15" s="5">
        <v>0</v>
      </c>
      <c r="H15" s="5">
        <v>0</v>
      </c>
      <c r="I15" s="5">
        <v>0</v>
      </c>
      <c r="J15" s="5">
        <v>0</v>
      </c>
      <c r="K15" s="5">
        <v>0</v>
      </c>
      <c r="L15" s="5">
        <v>2217189.3114370639</v>
      </c>
      <c r="M15" s="5">
        <v>0</v>
      </c>
      <c r="N15" s="5">
        <v>0</v>
      </c>
      <c r="O15" s="5">
        <v>0</v>
      </c>
      <c r="P15" s="5">
        <v>0</v>
      </c>
      <c r="Q15" s="5">
        <v>0</v>
      </c>
      <c r="R15" s="5">
        <v>0</v>
      </c>
      <c r="S15" s="5">
        <v>0</v>
      </c>
      <c r="T15" s="5">
        <v>1137077.1120240961</v>
      </c>
      <c r="U15" s="5">
        <v>0</v>
      </c>
      <c r="V15" s="5">
        <v>0</v>
      </c>
      <c r="W15" s="5">
        <v>0</v>
      </c>
      <c r="X15" s="81"/>
      <c r="Y15" s="81"/>
      <c r="Z15" s="5">
        <v>3018675.1325759981</v>
      </c>
      <c r="AA15" s="5">
        <v>0</v>
      </c>
      <c r="AB15" s="5">
        <v>0</v>
      </c>
      <c r="AC15" s="5">
        <v>0</v>
      </c>
      <c r="AD15" s="5">
        <v>0</v>
      </c>
      <c r="AE15" s="5">
        <v>0</v>
      </c>
      <c r="AF15" s="5">
        <v>0</v>
      </c>
      <c r="AG15" s="5">
        <v>0</v>
      </c>
      <c r="AH15" s="5">
        <v>1544427.3831646037</v>
      </c>
      <c r="AI15" s="5">
        <v>0</v>
      </c>
      <c r="AJ15" s="5">
        <v>0</v>
      </c>
      <c r="AK15" s="5">
        <v>0</v>
      </c>
      <c r="AL15" s="5">
        <v>0</v>
      </c>
      <c r="AM15" s="5">
        <v>0</v>
      </c>
      <c r="AN15" s="5">
        <v>0</v>
      </c>
      <c r="AO15" s="5">
        <v>0</v>
      </c>
      <c r="AP15" s="5">
        <v>789265.28952260781</v>
      </c>
      <c r="AQ15" s="5">
        <v>0</v>
      </c>
      <c r="AR15" s="5">
        <v>0</v>
      </c>
      <c r="AS15" s="5">
        <v>0</v>
      </c>
      <c r="AV15" s="5">
        <v>1068219.9521279994</v>
      </c>
      <c r="AW15" s="5">
        <v>0</v>
      </c>
      <c r="AX15" s="5">
        <v>0</v>
      </c>
      <c r="AY15" s="5">
        <v>0</v>
      </c>
      <c r="AZ15" s="5">
        <v>0</v>
      </c>
      <c r="BA15" s="5">
        <v>0</v>
      </c>
      <c r="BB15" s="5">
        <v>0</v>
      </c>
      <c r="BC15" s="5">
        <v>0</v>
      </c>
      <c r="BD15" s="5">
        <v>672761.92827246001</v>
      </c>
      <c r="BE15" s="5">
        <v>0</v>
      </c>
      <c r="BF15" s="5">
        <v>0</v>
      </c>
      <c r="BG15" s="5">
        <v>0</v>
      </c>
      <c r="BH15" s="5">
        <v>0</v>
      </c>
      <c r="BI15" s="5">
        <v>0</v>
      </c>
      <c r="BJ15" s="5">
        <v>0</v>
      </c>
      <c r="BK15" s="5">
        <v>0</v>
      </c>
      <c r="BL15" s="5">
        <v>347811.8225014882</v>
      </c>
      <c r="BM15" s="5">
        <v>0</v>
      </c>
      <c r="BN15" s="5">
        <v>0</v>
      </c>
      <c r="BO15" s="5">
        <v>0</v>
      </c>
    </row>
    <row r="16" spans="1:67" x14ac:dyDescent="0.35">
      <c r="A16" s="41" t="str">
        <v>Serving - Call session control function hardware</v>
      </c>
      <c r="B16" s="17"/>
      <c r="C16" s="17"/>
      <c r="D16" s="5">
        <v>0</v>
      </c>
      <c r="E16" s="5">
        <v>0</v>
      </c>
      <c r="F16" s="5">
        <v>0</v>
      </c>
      <c r="G16" s="5">
        <v>0</v>
      </c>
      <c r="H16" s="5">
        <v>0</v>
      </c>
      <c r="I16" s="5">
        <v>0</v>
      </c>
      <c r="J16" s="5">
        <v>0</v>
      </c>
      <c r="K16" s="5">
        <v>0</v>
      </c>
      <c r="L16" s="5">
        <v>0</v>
      </c>
      <c r="M16" s="5">
        <v>0</v>
      </c>
      <c r="N16" s="5">
        <v>0</v>
      </c>
      <c r="O16" s="5">
        <v>0</v>
      </c>
      <c r="P16" s="5">
        <v>0</v>
      </c>
      <c r="Q16" s="5">
        <v>0</v>
      </c>
      <c r="R16" s="5">
        <v>0</v>
      </c>
      <c r="S16" s="5">
        <v>0</v>
      </c>
      <c r="T16" s="5">
        <v>0</v>
      </c>
      <c r="U16" s="5">
        <v>0</v>
      </c>
      <c r="V16" s="5">
        <v>0</v>
      </c>
      <c r="W16" s="5">
        <v>0</v>
      </c>
      <c r="X16" s="81"/>
      <c r="Y16" s="81"/>
      <c r="Z16" s="5">
        <v>0</v>
      </c>
      <c r="AA16" s="5">
        <v>0</v>
      </c>
      <c r="AB16" s="5">
        <v>0</v>
      </c>
      <c r="AC16" s="5">
        <v>0</v>
      </c>
      <c r="AD16" s="5">
        <v>0</v>
      </c>
      <c r="AE16" s="5">
        <v>0</v>
      </c>
      <c r="AF16" s="5">
        <v>0</v>
      </c>
      <c r="AG16" s="5">
        <v>0</v>
      </c>
      <c r="AH16" s="5">
        <v>0</v>
      </c>
      <c r="AI16" s="5">
        <v>0</v>
      </c>
      <c r="AJ16" s="5">
        <v>0</v>
      </c>
      <c r="AK16" s="5">
        <v>0</v>
      </c>
      <c r="AL16" s="5">
        <v>0</v>
      </c>
      <c r="AM16" s="5">
        <v>0</v>
      </c>
      <c r="AN16" s="5">
        <v>0</v>
      </c>
      <c r="AO16" s="5">
        <v>0</v>
      </c>
      <c r="AP16" s="5">
        <v>0</v>
      </c>
      <c r="AQ16" s="5">
        <v>0</v>
      </c>
      <c r="AR16" s="5">
        <v>0</v>
      </c>
      <c r="AS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row>
    <row r="17" spans="1:68" x14ac:dyDescent="0.35">
      <c r="A17" s="41" t="str">
        <v>Serving - Call session control function software</v>
      </c>
      <c r="B17" s="17"/>
      <c r="C17" s="17"/>
      <c r="D17" s="5">
        <v>20434475.423519988</v>
      </c>
      <c r="E17" s="5">
        <v>0</v>
      </c>
      <c r="F17" s="5">
        <v>0</v>
      </c>
      <c r="G17" s="5">
        <v>0</v>
      </c>
      <c r="H17" s="5">
        <v>0</v>
      </c>
      <c r="I17" s="5">
        <v>0</v>
      </c>
      <c r="J17" s="5">
        <v>0</v>
      </c>
      <c r="K17" s="5">
        <v>0</v>
      </c>
      <c r="L17" s="5">
        <v>11085946.55718532</v>
      </c>
      <c r="M17" s="5">
        <v>0</v>
      </c>
      <c r="N17" s="5">
        <v>0</v>
      </c>
      <c r="O17" s="5">
        <v>0</v>
      </c>
      <c r="P17" s="5">
        <v>0</v>
      </c>
      <c r="Q17" s="5">
        <v>0</v>
      </c>
      <c r="R17" s="5">
        <v>0</v>
      </c>
      <c r="S17" s="5">
        <v>0</v>
      </c>
      <c r="T17" s="5">
        <v>5685385.5601204811</v>
      </c>
      <c r="U17" s="5">
        <v>0</v>
      </c>
      <c r="V17" s="5">
        <v>0</v>
      </c>
      <c r="W17" s="5">
        <v>0</v>
      </c>
      <c r="X17" s="81"/>
      <c r="Y17" s="81"/>
      <c r="Z17" s="5">
        <v>15093375.662879992</v>
      </c>
      <c r="AA17" s="5">
        <v>0</v>
      </c>
      <c r="AB17" s="5">
        <v>0</v>
      </c>
      <c r="AC17" s="5">
        <v>0</v>
      </c>
      <c r="AD17" s="5">
        <v>0</v>
      </c>
      <c r="AE17" s="5">
        <v>0</v>
      </c>
      <c r="AF17" s="5">
        <v>0</v>
      </c>
      <c r="AG17" s="5">
        <v>0</v>
      </c>
      <c r="AH17" s="5">
        <v>7722136.91582302</v>
      </c>
      <c r="AI17" s="5">
        <v>0</v>
      </c>
      <c r="AJ17" s="5">
        <v>0</v>
      </c>
      <c r="AK17" s="5">
        <v>0</v>
      </c>
      <c r="AL17" s="5">
        <v>0</v>
      </c>
      <c r="AM17" s="5">
        <v>0</v>
      </c>
      <c r="AN17" s="5">
        <v>0</v>
      </c>
      <c r="AO17" s="5">
        <v>0</v>
      </c>
      <c r="AP17" s="5">
        <v>3946326.44761304</v>
      </c>
      <c r="AQ17" s="5">
        <v>0</v>
      </c>
      <c r="AR17" s="5">
        <v>0</v>
      </c>
      <c r="AS17" s="5">
        <v>0</v>
      </c>
      <c r="AV17" s="5">
        <v>5341099.7606399972</v>
      </c>
      <c r="AW17" s="5">
        <v>0</v>
      </c>
      <c r="AX17" s="5">
        <v>0</v>
      </c>
      <c r="AY17" s="5">
        <v>0</v>
      </c>
      <c r="AZ17" s="5">
        <v>0</v>
      </c>
      <c r="BA17" s="5">
        <v>0</v>
      </c>
      <c r="BB17" s="5">
        <v>0</v>
      </c>
      <c r="BC17" s="5">
        <v>0</v>
      </c>
      <c r="BD17" s="5">
        <v>3363809.6413623001</v>
      </c>
      <c r="BE17" s="5">
        <v>0</v>
      </c>
      <c r="BF17" s="5">
        <v>0</v>
      </c>
      <c r="BG17" s="5">
        <v>0</v>
      </c>
      <c r="BH17" s="5">
        <v>0</v>
      </c>
      <c r="BI17" s="5">
        <v>0</v>
      </c>
      <c r="BJ17" s="5">
        <v>0</v>
      </c>
      <c r="BK17" s="5">
        <v>0</v>
      </c>
      <c r="BL17" s="5">
        <v>1739059.1125074413</v>
      </c>
      <c r="BM17" s="5">
        <v>0</v>
      </c>
      <c r="BN17" s="5">
        <v>0</v>
      </c>
      <c r="BO17" s="5">
        <v>0</v>
      </c>
    </row>
    <row r="18" spans="1:68" x14ac:dyDescent="0.35">
      <c r="A18" s="41" t="str">
        <v>Media resource function - hardware</v>
      </c>
      <c r="B18" s="17"/>
      <c r="C18" s="17"/>
      <c r="D18" s="5">
        <v>16690936.751999993</v>
      </c>
      <c r="E18" s="5">
        <v>0</v>
      </c>
      <c r="F18" s="5">
        <v>0</v>
      </c>
      <c r="G18" s="5">
        <v>0</v>
      </c>
      <c r="H18" s="5">
        <v>0</v>
      </c>
      <c r="I18" s="5">
        <v>0</v>
      </c>
      <c r="J18" s="5">
        <v>0</v>
      </c>
      <c r="K18" s="5">
        <v>0</v>
      </c>
      <c r="L18" s="5">
        <v>8775155.5861625224</v>
      </c>
      <c r="M18" s="5">
        <v>0</v>
      </c>
      <c r="N18" s="5">
        <v>0</v>
      </c>
      <c r="O18" s="5">
        <v>0</v>
      </c>
      <c r="P18" s="5">
        <v>0</v>
      </c>
      <c r="Q18" s="5">
        <v>0</v>
      </c>
      <c r="R18" s="5">
        <v>0</v>
      </c>
      <c r="S18" s="5">
        <v>0</v>
      </c>
      <c r="T18" s="5">
        <v>6688688.8942593895</v>
      </c>
      <c r="U18" s="5">
        <v>0</v>
      </c>
      <c r="V18" s="5">
        <v>0</v>
      </c>
      <c r="W18" s="5">
        <v>0</v>
      </c>
      <c r="X18" s="81"/>
      <c r="Y18" s="81"/>
      <c r="Z18" s="5">
        <v>11922097.679999994</v>
      </c>
      <c r="AA18" s="5">
        <v>0</v>
      </c>
      <c r="AB18" s="5">
        <v>0</v>
      </c>
      <c r="AC18" s="5">
        <v>0</v>
      </c>
      <c r="AD18" s="5">
        <v>0</v>
      </c>
      <c r="AE18" s="5">
        <v>0</v>
      </c>
      <c r="AF18" s="5">
        <v>0</v>
      </c>
      <c r="AG18" s="5">
        <v>0</v>
      </c>
      <c r="AH18" s="5">
        <v>5850103.7241083486</v>
      </c>
      <c r="AI18" s="5">
        <v>0</v>
      </c>
      <c r="AJ18" s="5">
        <v>0</v>
      </c>
      <c r="AK18" s="5">
        <v>0</v>
      </c>
      <c r="AL18" s="5">
        <v>0</v>
      </c>
      <c r="AM18" s="5">
        <v>0</v>
      </c>
      <c r="AN18" s="5">
        <v>0</v>
      </c>
      <c r="AO18" s="5">
        <v>0</v>
      </c>
      <c r="AP18" s="5">
        <v>3344344.4471296947</v>
      </c>
      <c r="AQ18" s="5">
        <v>0</v>
      </c>
      <c r="AR18" s="5">
        <v>0</v>
      </c>
      <c r="AS18" s="5">
        <v>0</v>
      </c>
      <c r="AV18" s="5">
        <v>4768839.0719999978</v>
      </c>
      <c r="AW18" s="5">
        <v>0</v>
      </c>
      <c r="AX18" s="5">
        <v>0</v>
      </c>
      <c r="AY18" s="5">
        <v>0</v>
      </c>
      <c r="AZ18" s="5">
        <v>0</v>
      </c>
      <c r="BA18" s="5">
        <v>0</v>
      </c>
      <c r="BB18" s="5">
        <v>0</v>
      </c>
      <c r="BC18" s="5">
        <v>0</v>
      </c>
      <c r="BD18" s="5">
        <v>2925051.8620541743</v>
      </c>
      <c r="BE18" s="5">
        <v>0</v>
      </c>
      <c r="BF18" s="5">
        <v>0</v>
      </c>
      <c r="BG18" s="5">
        <v>0</v>
      </c>
      <c r="BH18" s="5">
        <v>0</v>
      </c>
      <c r="BI18" s="5">
        <v>0</v>
      </c>
      <c r="BJ18" s="5">
        <v>0</v>
      </c>
      <c r="BK18" s="5">
        <v>0</v>
      </c>
      <c r="BL18" s="5">
        <v>3344344.4471296947</v>
      </c>
      <c r="BM18" s="5">
        <v>0</v>
      </c>
      <c r="BN18" s="5">
        <v>0</v>
      </c>
      <c r="BO18" s="5">
        <v>0</v>
      </c>
    </row>
    <row r="19" spans="1:68" x14ac:dyDescent="0.35">
      <c r="A19" s="41" t="str">
        <v>Media resource function - software</v>
      </c>
      <c r="B19" s="17"/>
      <c r="C19" s="17"/>
      <c r="D19" s="5">
        <v>28245833.823455982</v>
      </c>
      <c r="E19" s="5">
        <v>0</v>
      </c>
      <c r="F19" s="5">
        <v>0</v>
      </c>
      <c r="G19" s="5">
        <v>0</v>
      </c>
      <c r="H19" s="5">
        <v>0</v>
      </c>
      <c r="I19" s="5">
        <v>0</v>
      </c>
      <c r="J19" s="5">
        <v>0</v>
      </c>
      <c r="K19" s="5">
        <v>0</v>
      </c>
      <c r="L19" s="5">
        <v>15024528.889441265</v>
      </c>
      <c r="M19" s="5">
        <v>0</v>
      </c>
      <c r="N19" s="5">
        <v>0</v>
      </c>
      <c r="O19" s="5">
        <v>0</v>
      </c>
      <c r="P19" s="5">
        <v>0</v>
      </c>
      <c r="Q19" s="5">
        <v>0</v>
      </c>
      <c r="R19" s="5">
        <v>0</v>
      </c>
      <c r="S19" s="5">
        <v>0</v>
      </c>
      <c r="T19" s="5">
        <v>7693664.4006218622</v>
      </c>
      <c r="U19" s="5">
        <v>0</v>
      </c>
      <c r="V19" s="5">
        <v>0</v>
      </c>
      <c r="W19" s="5">
        <v>0</v>
      </c>
      <c r="X19" s="81"/>
      <c r="Y19" s="81"/>
      <c r="Z19" s="5">
        <v>22014550.769375987</v>
      </c>
      <c r="AA19" s="5">
        <v>0</v>
      </c>
      <c r="AB19" s="5">
        <v>0</v>
      </c>
      <c r="AC19" s="5">
        <v>0</v>
      </c>
      <c r="AD19" s="5">
        <v>0</v>
      </c>
      <c r="AE19" s="5">
        <v>0</v>
      </c>
      <c r="AF19" s="5">
        <v>0</v>
      </c>
      <c r="AG19" s="5">
        <v>0</v>
      </c>
      <c r="AH19" s="5">
        <v>11110321.989369104</v>
      </c>
      <c r="AI19" s="5">
        <v>0</v>
      </c>
      <c r="AJ19" s="5">
        <v>0</v>
      </c>
      <c r="AK19" s="5">
        <v>0</v>
      </c>
      <c r="AL19" s="5">
        <v>0</v>
      </c>
      <c r="AM19" s="5">
        <v>0</v>
      </c>
      <c r="AN19" s="5">
        <v>0</v>
      </c>
      <c r="AO19" s="5">
        <v>0</v>
      </c>
      <c r="AP19" s="5">
        <v>5689287.2953087986</v>
      </c>
      <c r="AQ19" s="5">
        <v>0</v>
      </c>
      <c r="AR19" s="5">
        <v>0</v>
      </c>
      <c r="AS19" s="5">
        <v>0</v>
      </c>
      <c r="AT19" s="15"/>
      <c r="AV19" s="5">
        <v>6231283.0540799964</v>
      </c>
      <c r="AW19" s="5">
        <v>0</v>
      </c>
      <c r="AX19" s="5">
        <v>0</v>
      </c>
      <c r="AY19" s="5">
        <v>0</v>
      </c>
      <c r="AZ19" s="5">
        <v>0</v>
      </c>
      <c r="BA19" s="5">
        <v>0</v>
      </c>
      <c r="BB19" s="5">
        <v>0</v>
      </c>
      <c r="BC19" s="5">
        <v>0</v>
      </c>
      <c r="BD19" s="5">
        <v>3914206.9000721606</v>
      </c>
      <c r="BE19" s="5">
        <v>0</v>
      </c>
      <c r="BF19" s="5">
        <v>0</v>
      </c>
      <c r="BG19" s="5">
        <v>0</v>
      </c>
      <c r="BH19" s="5">
        <v>0</v>
      </c>
      <c r="BI19" s="5">
        <v>0</v>
      </c>
      <c r="BJ19" s="5">
        <v>0</v>
      </c>
      <c r="BK19" s="5">
        <v>0</v>
      </c>
      <c r="BL19" s="5">
        <v>2004377.1053130634</v>
      </c>
      <c r="BM19" s="5">
        <v>0</v>
      </c>
      <c r="BN19" s="5">
        <v>0</v>
      </c>
      <c r="BO19" s="5">
        <v>0</v>
      </c>
    </row>
    <row r="20" spans="1:68" x14ac:dyDescent="0.35">
      <c r="A20" s="41" t="str">
        <v>Access session border controller - hardware</v>
      </c>
      <c r="B20" s="17"/>
      <c r="C20" s="17"/>
      <c r="D20" s="5">
        <v>10942056</v>
      </c>
      <c r="E20" s="5">
        <v>0</v>
      </c>
      <c r="F20" s="5">
        <v>0</v>
      </c>
      <c r="G20" s="5">
        <v>0</v>
      </c>
      <c r="H20" s="5">
        <v>0</v>
      </c>
      <c r="I20" s="5">
        <v>0</v>
      </c>
      <c r="J20" s="5">
        <v>0</v>
      </c>
      <c r="K20" s="5">
        <v>0</v>
      </c>
      <c r="L20" s="5">
        <v>4474335.8281086581</v>
      </c>
      <c r="M20" s="5">
        <v>0</v>
      </c>
      <c r="N20" s="5">
        <v>0</v>
      </c>
      <c r="O20" s="5">
        <v>0</v>
      </c>
      <c r="P20" s="5">
        <v>0</v>
      </c>
      <c r="Q20" s="5">
        <v>0</v>
      </c>
      <c r="R20" s="5">
        <v>0</v>
      </c>
      <c r="S20" s="5">
        <v>0</v>
      </c>
      <c r="T20" s="5">
        <v>5115711.0666817622</v>
      </c>
      <c r="U20" s="5">
        <v>0</v>
      </c>
      <c r="V20" s="5">
        <v>0</v>
      </c>
      <c r="W20" s="5">
        <v>0</v>
      </c>
      <c r="X20" s="211"/>
      <c r="Y20" s="81"/>
      <c r="Z20" s="5">
        <v>7294704</v>
      </c>
      <c r="AA20" s="5">
        <v>0</v>
      </c>
      <c r="AB20" s="5">
        <v>0</v>
      </c>
      <c r="AC20" s="5">
        <v>0</v>
      </c>
      <c r="AD20" s="5">
        <v>0</v>
      </c>
      <c r="AE20" s="5">
        <v>0</v>
      </c>
      <c r="AF20" s="5">
        <v>0</v>
      </c>
      <c r="AG20" s="5">
        <v>0</v>
      </c>
      <c r="AH20" s="5">
        <v>4474335.8281086581</v>
      </c>
      <c r="AI20" s="5">
        <v>0</v>
      </c>
      <c r="AJ20" s="5">
        <v>0</v>
      </c>
      <c r="AK20" s="5">
        <v>0</v>
      </c>
      <c r="AL20" s="5">
        <v>0</v>
      </c>
      <c r="AM20" s="5">
        <v>0</v>
      </c>
      <c r="AN20" s="5">
        <v>0</v>
      </c>
      <c r="AO20" s="5">
        <v>0</v>
      </c>
      <c r="AP20" s="5">
        <v>5115711.0666817622</v>
      </c>
      <c r="AQ20" s="5">
        <v>0</v>
      </c>
      <c r="AR20" s="5">
        <v>0</v>
      </c>
      <c r="AS20" s="5">
        <v>0</v>
      </c>
      <c r="AT20" s="15"/>
      <c r="AV20" s="5">
        <v>3647352</v>
      </c>
      <c r="AW20" s="5">
        <v>0</v>
      </c>
      <c r="AX20" s="5">
        <v>0</v>
      </c>
      <c r="AY20" s="5">
        <v>0</v>
      </c>
      <c r="AZ20" s="5">
        <v>0</v>
      </c>
      <c r="BA20" s="5">
        <v>0</v>
      </c>
      <c r="BB20" s="5">
        <v>0</v>
      </c>
      <c r="BC20" s="5">
        <v>0</v>
      </c>
      <c r="BD20" s="5">
        <v>0</v>
      </c>
      <c r="BE20" s="5">
        <v>0</v>
      </c>
      <c r="BF20" s="5">
        <v>0</v>
      </c>
      <c r="BG20" s="5">
        <v>0</v>
      </c>
      <c r="BH20" s="5">
        <v>0</v>
      </c>
      <c r="BI20" s="5">
        <v>0</v>
      </c>
      <c r="BJ20" s="5">
        <v>0</v>
      </c>
      <c r="BK20" s="5">
        <v>0</v>
      </c>
      <c r="BL20" s="5">
        <v>0</v>
      </c>
      <c r="BM20" s="5">
        <v>0</v>
      </c>
      <c r="BN20" s="5">
        <v>0</v>
      </c>
      <c r="BO20" s="5">
        <v>0</v>
      </c>
    </row>
    <row r="21" spans="1:68" x14ac:dyDescent="0.35">
      <c r="A21" s="41" t="str">
        <v>Access session border controller - software</v>
      </c>
      <c r="B21" s="17"/>
      <c r="C21" s="17"/>
      <c r="D21" s="5">
        <v>30101760</v>
      </c>
      <c r="E21" s="5">
        <v>0</v>
      </c>
      <c r="F21" s="5">
        <v>0</v>
      </c>
      <c r="G21" s="5">
        <v>0</v>
      </c>
      <c r="H21" s="5">
        <v>0</v>
      </c>
      <c r="I21" s="5">
        <v>0</v>
      </c>
      <c r="J21" s="5">
        <v>0</v>
      </c>
      <c r="K21" s="5">
        <v>0</v>
      </c>
      <c r="L21" s="5">
        <v>14770757.88211591</v>
      </c>
      <c r="M21" s="5">
        <v>0</v>
      </c>
      <c r="N21" s="5">
        <v>0</v>
      </c>
      <c r="O21" s="5">
        <v>0</v>
      </c>
      <c r="P21" s="5">
        <v>0</v>
      </c>
      <c r="Q21" s="5">
        <v>0</v>
      </c>
      <c r="R21" s="5">
        <v>0</v>
      </c>
      <c r="S21" s="5">
        <v>0</v>
      </c>
      <c r="T21" s="5">
        <v>8444038.6756528243</v>
      </c>
      <c r="U21" s="5">
        <v>0</v>
      </c>
      <c r="V21" s="5">
        <v>0</v>
      </c>
      <c r="W21" s="5">
        <v>0</v>
      </c>
      <c r="X21" s="211"/>
      <c r="Y21" s="81"/>
      <c r="Z21" s="5">
        <v>24081408</v>
      </c>
      <c r="AA21" s="5">
        <v>0</v>
      </c>
      <c r="AB21" s="5">
        <v>0</v>
      </c>
      <c r="AC21" s="5">
        <v>0</v>
      </c>
      <c r="AD21" s="5">
        <v>0</v>
      </c>
      <c r="AE21" s="5">
        <v>0</v>
      </c>
      <c r="AF21" s="5">
        <v>0</v>
      </c>
      <c r="AG21" s="5">
        <v>0</v>
      </c>
      <c r="AH21" s="5">
        <v>14770757.88211591</v>
      </c>
      <c r="AI21" s="5">
        <v>0</v>
      </c>
      <c r="AJ21" s="5">
        <v>0</v>
      </c>
      <c r="AK21" s="5">
        <v>0</v>
      </c>
      <c r="AL21" s="5">
        <v>0</v>
      </c>
      <c r="AM21" s="5">
        <v>0</v>
      </c>
      <c r="AN21" s="5">
        <v>0</v>
      </c>
      <c r="AO21" s="5">
        <v>0</v>
      </c>
      <c r="AP21" s="5">
        <v>8444038.6756528243</v>
      </c>
      <c r="AQ21" s="5">
        <v>0</v>
      </c>
      <c r="AR21" s="5">
        <v>0</v>
      </c>
      <c r="AS21" s="5">
        <v>0</v>
      </c>
      <c r="AT21" s="15"/>
      <c r="AV21" s="5">
        <v>6020352</v>
      </c>
      <c r="AW21" s="5">
        <v>0</v>
      </c>
      <c r="AX21" s="5">
        <v>0</v>
      </c>
      <c r="AY21" s="5">
        <v>0</v>
      </c>
      <c r="AZ21" s="5">
        <v>0</v>
      </c>
      <c r="BA21" s="5">
        <v>0</v>
      </c>
      <c r="BB21" s="5">
        <v>0</v>
      </c>
      <c r="BC21" s="5">
        <v>0</v>
      </c>
      <c r="BD21" s="5">
        <v>0</v>
      </c>
      <c r="BE21" s="5">
        <v>0</v>
      </c>
      <c r="BF21" s="5">
        <v>0</v>
      </c>
      <c r="BG21" s="5">
        <v>0</v>
      </c>
      <c r="BH21" s="5">
        <v>0</v>
      </c>
      <c r="BI21" s="5">
        <v>0</v>
      </c>
      <c r="BJ21" s="5">
        <v>0</v>
      </c>
      <c r="BK21" s="5">
        <v>0</v>
      </c>
      <c r="BL21" s="5">
        <v>0</v>
      </c>
      <c r="BM21" s="5">
        <v>0</v>
      </c>
      <c r="BN21" s="5">
        <v>0</v>
      </c>
      <c r="BO21" s="5">
        <v>0</v>
      </c>
    </row>
    <row r="22" spans="1:68" x14ac:dyDescent="0.35">
      <c r="A22" s="41" t="str">
        <v>Internet exchange point session border controller - hardware</v>
      </c>
      <c r="B22" s="17"/>
      <c r="C22" s="17"/>
      <c r="D22" s="5">
        <v>7294704</v>
      </c>
      <c r="E22" s="5">
        <v>0</v>
      </c>
      <c r="F22" s="5">
        <v>0</v>
      </c>
      <c r="G22" s="5">
        <v>0</v>
      </c>
      <c r="H22" s="5">
        <v>0</v>
      </c>
      <c r="I22" s="5">
        <v>0</v>
      </c>
      <c r="J22" s="5">
        <v>0</v>
      </c>
      <c r="K22" s="5">
        <v>0</v>
      </c>
      <c r="L22" s="5">
        <v>4474335.8281086581</v>
      </c>
      <c r="M22" s="5">
        <v>0</v>
      </c>
      <c r="N22" s="5">
        <v>0</v>
      </c>
      <c r="O22" s="5">
        <v>0</v>
      </c>
      <c r="P22" s="5">
        <v>0</v>
      </c>
      <c r="Q22" s="5">
        <v>0</v>
      </c>
      <c r="R22" s="5">
        <v>0</v>
      </c>
      <c r="S22" s="5">
        <v>0</v>
      </c>
      <c r="T22" s="5">
        <v>5115711.0666817622</v>
      </c>
      <c r="U22" s="5">
        <v>0</v>
      </c>
      <c r="V22" s="5">
        <v>0</v>
      </c>
      <c r="W22" s="5">
        <v>0</v>
      </c>
      <c r="X22" s="211"/>
      <c r="Y22" s="81"/>
      <c r="Z22" s="5">
        <v>7294704</v>
      </c>
      <c r="AA22" s="5">
        <v>0</v>
      </c>
      <c r="AB22" s="5">
        <v>0</v>
      </c>
      <c r="AC22" s="5">
        <v>0</v>
      </c>
      <c r="AD22" s="5">
        <v>0</v>
      </c>
      <c r="AE22" s="5">
        <v>0</v>
      </c>
      <c r="AF22" s="5">
        <v>0</v>
      </c>
      <c r="AG22" s="5">
        <v>0</v>
      </c>
      <c r="AH22" s="5">
        <v>4474335.8281086581</v>
      </c>
      <c r="AI22" s="5">
        <v>0</v>
      </c>
      <c r="AJ22" s="5">
        <v>0</v>
      </c>
      <c r="AK22" s="5">
        <v>0</v>
      </c>
      <c r="AL22" s="5">
        <v>0</v>
      </c>
      <c r="AM22" s="5">
        <v>0</v>
      </c>
      <c r="AN22" s="5">
        <v>0</v>
      </c>
      <c r="AO22" s="5">
        <v>0</v>
      </c>
      <c r="AP22" s="5">
        <v>5115711.0666817622</v>
      </c>
      <c r="AQ22" s="5">
        <v>0</v>
      </c>
      <c r="AR22" s="5">
        <v>0</v>
      </c>
      <c r="AS22" s="5">
        <v>0</v>
      </c>
      <c r="AT22" s="15"/>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row>
    <row r="23" spans="1:68" x14ac:dyDescent="0.35">
      <c r="A23" s="41" t="str">
        <v>Internet exchange point session border controller - software</v>
      </c>
      <c r="B23" s="17"/>
      <c r="C23" s="17"/>
      <c r="D23" s="5">
        <v>24081408</v>
      </c>
      <c r="E23" s="5">
        <v>0</v>
      </c>
      <c r="F23" s="5">
        <v>0</v>
      </c>
      <c r="G23" s="5">
        <v>0</v>
      </c>
      <c r="H23" s="5">
        <v>0</v>
      </c>
      <c r="I23" s="5">
        <v>0</v>
      </c>
      <c r="J23" s="5">
        <v>0</v>
      </c>
      <c r="K23" s="5">
        <v>0</v>
      </c>
      <c r="L23" s="5">
        <v>14770757.88211591</v>
      </c>
      <c r="M23" s="5">
        <v>0</v>
      </c>
      <c r="N23" s="5">
        <v>0</v>
      </c>
      <c r="O23" s="5">
        <v>0</v>
      </c>
      <c r="P23" s="5">
        <v>0</v>
      </c>
      <c r="Q23" s="5">
        <v>0</v>
      </c>
      <c r="R23" s="5">
        <v>0</v>
      </c>
      <c r="S23" s="5">
        <v>0</v>
      </c>
      <c r="T23" s="5">
        <v>8444038.6756528243</v>
      </c>
      <c r="U23" s="5">
        <v>0</v>
      </c>
      <c r="V23" s="5">
        <v>0</v>
      </c>
      <c r="W23" s="5">
        <v>0</v>
      </c>
      <c r="X23" s="211" t="s">
        <v>168</v>
      </c>
      <c r="Y23" s="81"/>
      <c r="Z23" s="5">
        <v>18061056</v>
      </c>
      <c r="AA23" s="5">
        <v>0</v>
      </c>
      <c r="AB23" s="5">
        <v>0</v>
      </c>
      <c r="AC23" s="5">
        <v>0</v>
      </c>
      <c r="AD23" s="5">
        <v>0</v>
      </c>
      <c r="AE23" s="5">
        <v>0</v>
      </c>
      <c r="AF23" s="5">
        <v>0</v>
      </c>
      <c r="AG23" s="5">
        <v>0</v>
      </c>
      <c r="AH23" s="5">
        <v>14770757.88211591</v>
      </c>
      <c r="AI23" s="5">
        <v>0</v>
      </c>
      <c r="AJ23" s="5">
        <v>0</v>
      </c>
      <c r="AK23" s="5">
        <v>0</v>
      </c>
      <c r="AL23" s="5">
        <v>0</v>
      </c>
      <c r="AM23" s="5">
        <v>0</v>
      </c>
      <c r="AN23" s="5">
        <v>0</v>
      </c>
      <c r="AO23" s="5">
        <v>0</v>
      </c>
      <c r="AP23" s="5">
        <v>8444038.6756528243</v>
      </c>
      <c r="AQ23" s="5">
        <v>0</v>
      </c>
      <c r="AR23" s="5">
        <v>0</v>
      </c>
      <c r="AS23" s="5">
        <v>0</v>
      </c>
      <c r="AT23" s="15"/>
      <c r="AV23" s="5">
        <v>6020352</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row>
    <row r="24" spans="1:68" x14ac:dyDescent="0.35">
      <c r="A24" s="39"/>
      <c r="C24" s="12" t="s">
        <v>345</v>
      </c>
      <c r="M24" s="15"/>
      <c r="N24" s="15"/>
      <c r="O24" s="15"/>
      <c r="P24" s="15"/>
      <c r="Q24" s="15"/>
      <c r="R24" s="15"/>
      <c r="S24" s="15"/>
      <c r="T24" s="15"/>
      <c r="U24" s="15"/>
      <c r="V24" s="15"/>
      <c r="W24" s="15"/>
      <c r="Y24" s="21" t="s">
        <v>167</v>
      </c>
      <c r="AI24" s="15"/>
      <c r="AJ24" s="15"/>
      <c r="AK24" s="15"/>
      <c r="AL24" s="15"/>
      <c r="AM24" s="15"/>
      <c r="AN24" s="15"/>
      <c r="AO24" s="15"/>
      <c r="AP24" s="15"/>
      <c r="AQ24" s="15"/>
      <c r="AR24" s="15"/>
      <c r="AS24" s="15"/>
      <c r="AU24" s="21" t="s">
        <v>167</v>
      </c>
      <c r="BE24" s="15"/>
      <c r="BF24" s="15"/>
      <c r="BG24" s="15"/>
      <c r="BH24" s="15"/>
      <c r="BI24" s="15"/>
      <c r="BJ24" s="15"/>
      <c r="BK24" s="15"/>
      <c r="BL24" s="15"/>
      <c r="BM24" s="15"/>
      <c r="BN24" s="15"/>
      <c r="BO24" s="15"/>
    </row>
    <row r="25" spans="1:68" x14ac:dyDescent="0.35">
      <c r="A25" s="41" t="s">
        <v>169</v>
      </c>
      <c r="B25" s="17"/>
      <c r="C25" s="17"/>
      <c r="D25" s="16">
        <f>SUM(D8:D23)</f>
        <v>206343262.15252632</v>
      </c>
      <c r="E25" s="212">
        <f t="shared" ref="E25:W25" si="0">SUM(E8:E23)</f>
        <v>0</v>
      </c>
      <c r="F25" s="212">
        <f t="shared" si="0"/>
        <v>0</v>
      </c>
      <c r="G25" s="212">
        <f t="shared" si="0"/>
        <v>0</v>
      </c>
      <c r="H25" s="212">
        <f t="shared" si="0"/>
        <v>0</v>
      </c>
      <c r="I25" s="212">
        <f t="shared" si="0"/>
        <v>0</v>
      </c>
      <c r="J25" s="212">
        <f t="shared" si="0"/>
        <v>0</v>
      </c>
      <c r="K25" s="212">
        <f t="shared" si="0"/>
        <v>0</v>
      </c>
      <c r="L25" s="212">
        <f t="shared" si="0"/>
        <v>140480668.24252036</v>
      </c>
      <c r="M25" s="212">
        <f t="shared" si="0"/>
        <v>0</v>
      </c>
      <c r="N25" s="212">
        <f t="shared" si="0"/>
        <v>0</v>
      </c>
      <c r="O25" s="212">
        <f t="shared" si="0"/>
        <v>0</v>
      </c>
      <c r="P25" s="212">
        <f t="shared" si="0"/>
        <v>0</v>
      </c>
      <c r="Q25" s="212">
        <f t="shared" si="0"/>
        <v>0</v>
      </c>
      <c r="R25" s="212">
        <f t="shared" si="0"/>
        <v>0</v>
      </c>
      <c r="S25" s="212">
        <f t="shared" si="0"/>
        <v>0</v>
      </c>
      <c r="T25" s="212">
        <f t="shared" si="0"/>
        <v>115420337.40038273</v>
      </c>
      <c r="U25" s="212">
        <f t="shared" si="0"/>
        <v>0</v>
      </c>
      <c r="V25" s="212">
        <f t="shared" si="0"/>
        <v>0</v>
      </c>
      <c r="W25" s="212">
        <f t="shared" si="0"/>
        <v>0</v>
      </c>
      <c r="X25" s="15" t="s">
        <v>395</v>
      </c>
      <c r="Z25" s="16">
        <f>SUM(Z8:Z23)</f>
        <v>167823647.27591515</v>
      </c>
      <c r="AA25" s="16">
        <f t="shared" ref="AA25:AS25" si="1">SUM(AA8:AA23)</f>
        <v>0</v>
      </c>
      <c r="AB25" s="16">
        <f t="shared" si="1"/>
        <v>0</v>
      </c>
      <c r="AC25" s="16">
        <f t="shared" si="1"/>
        <v>0</v>
      </c>
      <c r="AD25" s="16">
        <f t="shared" si="1"/>
        <v>0</v>
      </c>
      <c r="AE25" s="16">
        <f t="shared" si="1"/>
        <v>0</v>
      </c>
      <c r="AF25" s="16">
        <f t="shared" si="1"/>
        <v>0</v>
      </c>
      <c r="AG25" s="16">
        <f t="shared" si="1"/>
        <v>0</v>
      </c>
      <c r="AH25" s="16">
        <f t="shared" si="1"/>
        <v>126191334.8883183</v>
      </c>
      <c r="AI25" s="16">
        <f t="shared" si="1"/>
        <v>0</v>
      </c>
      <c r="AJ25" s="16">
        <f t="shared" si="1"/>
        <v>0</v>
      </c>
      <c r="AK25" s="16">
        <f t="shared" si="1"/>
        <v>0</v>
      </c>
      <c r="AL25" s="16">
        <f t="shared" si="1"/>
        <v>0</v>
      </c>
      <c r="AM25" s="16">
        <f t="shared" si="1"/>
        <v>0</v>
      </c>
      <c r="AN25" s="16">
        <f t="shared" si="1"/>
        <v>0</v>
      </c>
      <c r="AO25" s="16">
        <f t="shared" si="1"/>
        <v>0</v>
      </c>
      <c r="AP25" s="16">
        <f t="shared" si="1"/>
        <v>106219860.02941522</v>
      </c>
      <c r="AQ25" s="16">
        <f t="shared" si="1"/>
        <v>0</v>
      </c>
      <c r="AR25" s="16">
        <f t="shared" si="1"/>
        <v>0</v>
      </c>
      <c r="AS25" s="16">
        <f t="shared" si="1"/>
        <v>0</v>
      </c>
      <c r="AT25" s="15" t="s">
        <v>170</v>
      </c>
      <c r="AV25" s="26">
        <f>SUM(AV8:AV23)</f>
        <v>38519614.876611188</v>
      </c>
      <c r="AW25" s="26">
        <f t="shared" ref="AW25:BO25" si="2">SUM(AW8:AW23)</f>
        <v>0</v>
      </c>
      <c r="AX25" s="26">
        <f t="shared" si="2"/>
        <v>0</v>
      </c>
      <c r="AY25" s="26">
        <f t="shared" si="2"/>
        <v>0</v>
      </c>
      <c r="AZ25" s="26">
        <f t="shared" si="2"/>
        <v>0</v>
      </c>
      <c r="BA25" s="26">
        <f t="shared" si="2"/>
        <v>0</v>
      </c>
      <c r="BB25" s="26">
        <f t="shared" si="2"/>
        <v>0</v>
      </c>
      <c r="BC25" s="26">
        <f t="shared" si="2"/>
        <v>0</v>
      </c>
      <c r="BD25" s="26">
        <f t="shared" si="2"/>
        <v>14289333.354202071</v>
      </c>
      <c r="BE25" s="26">
        <f t="shared" si="2"/>
        <v>0</v>
      </c>
      <c r="BF25" s="26">
        <f t="shared" si="2"/>
        <v>0</v>
      </c>
      <c r="BG25" s="26">
        <f t="shared" si="2"/>
        <v>0</v>
      </c>
      <c r="BH25" s="26">
        <f t="shared" si="2"/>
        <v>0</v>
      </c>
      <c r="BI25" s="26">
        <f t="shared" si="2"/>
        <v>0</v>
      </c>
      <c r="BJ25" s="26">
        <f t="shared" si="2"/>
        <v>0</v>
      </c>
      <c r="BK25" s="26">
        <f t="shared" si="2"/>
        <v>0</v>
      </c>
      <c r="BL25" s="26">
        <f t="shared" si="2"/>
        <v>9200477.3709675185</v>
      </c>
      <c r="BM25" s="26">
        <f t="shared" si="2"/>
        <v>0</v>
      </c>
      <c r="BN25" s="26">
        <f t="shared" si="2"/>
        <v>0</v>
      </c>
      <c r="BO25" s="26">
        <f t="shared" si="2"/>
        <v>0</v>
      </c>
      <c r="BP25" s="15" t="s">
        <v>412</v>
      </c>
    </row>
    <row r="26" spans="1:68" x14ac:dyDescent="0.35">
      <c r="A26" s="41" t="s">
        <v>400</v>
      </c>
      <c r="B26" s="17"/>
      <c r="C26" s="152">
        <f>SUM(D26:W26)</f>
        <v>202449122.18412381</v>
      </c>
      <c r="D26" s="73" cm="1">
        <f t="array" ref="D26:W26">core_costs_capex/wacc_index</f>
        <v>171123970.41932189</v>
      </c>
      <c r="E26" s="73">
        <v>0</v>
      </c>
      <c r="F26" s="73">
        <v>0</v>
      </c>
      <c r="G26" s="73">
        <v>0</v>
      </c>
      <c r="H26" s="73">
        <v>0</v>
      </c>
      <c r="I26" s="73">
        <v>0</v>
      </c>
      <c r="J26" s="73">
        <v>0</v>
      </c>
      <c r="K26" s="73">
        <v>0</v>
      </c>
      <c r="L26" s="73">
        <v>26622529.508305833</v>
      </c>
      <c r="M26" s="73">
        <v>0</v>
      </c>
      <c r="N26" s="73">
        <v>0</v>
      </c>
      <c r="O26" s="73">
        <v>0</v>
      </c>
      <c r="P26" s="73">
        <v>0</v>
      </c>
      <c r="Q26" s="73">
        <v>0</v>
      </c>
      <c r="R26" s="73">
        <v>0</v>
      </c>
      <c r="S26" s="73">
        <v>0</v>
      </c>
      <c r="T26" s="73">
        <v>4702622.2564960774</v>
      </c>
      <c r="U26" s="73">
        <v>0</v>
      </c>
      <c r="V26" s="73">
        <v>0</v>
      </c>
      <c r="W26" s="73">
        <v>0</v>
      </c>
      <c r="X26" s="15" t="s">
        <v>398</v>
      </c>
      <c r="Y26" s="16">
        <f>SUM(_xlfn.ANCHORARRAY(Z26))</f>
        <v>167421317.02743411</v>
      </c>
      <c r="Z26" s="26" cm="1">
        <f t="array" ref="Z26:AS26">core_costs_noincoming/wacc_index</f>
        <v>139178999.84966776</v>
      </c>
      <c r="AA26" s="26">
        <v>0</v>
      </c>
      <c r="AB26" s="26">
        <v>0</v>
      </c>
      <c r="AC26" s="26">
        <v>0</v>
      </c>
      <c r="AD26" s="26">
        <v>0</v>
      </c>
      <c r="AE26" s="26">
        <v>0</v>
      </c>
      <c r="AF26" s="26">
        <v>0</v>
      </c>
      <c r="AG26" s="26">
        <v>0</v>
      </c>
      <c r="AH26" s="26">
        <v>23914554.072002213</v>
      </c>
      <c r="AI26" s="26">
        <v>0</v>
      </c>
      <c r="AJ26" s="26">
        <v>0</v>
      </c>
      <c r="AK26" s="26">
        <v>0</v>
      </c>
      <c r="AL26" s="26">
        <v>0</v>
      </c>
      <c r="AM26" s="26">
        <v>0</v>
      </c>
      <c r="AN26" s="26">
        <v>0</v>
      </c>
      <c r="AO26" s="26">
        <v>0</v>
      </c>
      <c r="AP26" s="26">
        <v>4327763.1057641469</v>
      </c>
      <c r="AQ26" s="26">
        <v>0</v>
      </c>
      <c r="AR26" s="26">
        <v>0</v>
      </c>
      <c r="AS26" s="26">
        <v>0</v>
      </c>
      <c r="AU26" s="16">
        <f>SUM(_xlfn.ANCHORARRAY(AV26))</f>
        <v>35027805.156689696</v>
      </c>
      <c r="AV26" s="26" cm="1">
        <f t="array" ref="AV26:BO26">core_costs_incomingonly/wacc_index</f>
        <v>31944970.569654148</v>
      </c>
      <c r="AW26" s="26">
        <v>0</v>
      </c>
      <c r="AX26" s="26">
        <v>0</v>
      </c>
      <c r="AY26" s="26">
        <v>0</v>
      </c>
      <c r="AZ26" s="26">
        <v>0</v>
      </c>
      <c r="BA26" s="26">
        <v>0</v>
      </c>
      <c r="BB26" s="26">
        <v>0</v>
      </c>
      <c r="BC26" s="26">
        <v>0</v>
      </c>
      <c r="BD26" s="26">
        <v>2707975.4363036216</v>
      </c>
      <c r="BE26" s="26">
        <v>0</v>
      </c>
      <c r="BF26" s="26">
        <v>0</v>
      </c>
      <c r="BG26" s="26">
        <v>0</v>
      </c>
      <c r="BH26" s="26">
        <v>0</v>
      </c>
      <c r="BI26" s="26">
        <v>0</v>
      </c>
      <c r="BJ26" s="26">
        <v>0</v>
      </c>
      <c r="BK26" s="26">
        <v>0</v>
      </c>
      <c r="BL26" s="26">
        <v>374859.15073193068</v>
      </c>
      <c r="BM26" s="26">
        <v>0</v>
      </c>
      <c r="BN26" s="26">
        <v>0</v>
      </c>
      <c r="BO26" s="26">
        <v>0</v>
      </c>
    </row>
    <row r="27" spans="1:68" x14ac:dyDescent="0.35">
      <c r="A27" s="39"/>
      <c r="C27" s="15" t="s">
        <v>402</v>
      </c>
      <c r="L27" s="15"/>
      <c r="M27" s="15"/>
      <c r="N27" s="15"/>
      <c r="O27" s="15"/>
      <c r="P27" s="15"/>
      <c r="Q27" s="15"/>
      <c r="R27" s="15"/>
      <c r="S27" s="15"/>
      <c r="T27" s="15"/>
      <c r="U27" s="15"/>
      <c r="V27" s="15"/>
      <c r="W27" s="15"/>
      <c r="AU27" s="15" t="s">
        <v>413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83E4E-2C0C-4A26-A753-9557D5485EBB}">
  <dimension ref="A1:BP28"/>
  <sheetViews>
    <sheetView zoomScaleNormal="100" workbookViewId="0">
      <selection activeCell="B1" sqref="B1"/>
    </sheetView>
  </sheetViews>
  <sheetFormatPr defaultColWidth="8.54296875" defaultRowHeight="14.5" x14ac:dyDescent="0.35"/>
  <cols>
    <col min="1" max="1" width="50.54296875" style="12" customWidth="1"/>
    <col min="2" max="4" width="15.54296875" style="12" customWidth="1"/>
    <col min="5" max="5" width="17" style="12" bestFit="1" customWidth="1"/>
    <col min="6" max="83" width="15.54296875" style="12" customWidth="1"/>
    <col min="84" max="16384" width="8.54296875" style="12"/>
  </cols>
  <sheetData>
    <row r="1" spans="1:67" ht="18.5" x14ac:dyDescent="0.45">
      <c r="A1" s="89" t="s">
        <v>171</v>
      </c>
      <c r="B1" s="127"/>
      <c r="C1" s="127"/>
      <c r="D1" s="128"/>
      <c r="E1" s="128"/>
      <c r="F1" s="128"/>
      <c r="G1" s="128"/>
      <c r="H1" s="128"/>
      <c r="I1" s="128"/>
      <c r="J1" s="128"/>
      <c r="K1" s="128"/>
      <c r="L1" s="128"/>
    </row>
    <row r="4" spans="1:67" s="21" customFormat="1" x14ac:dyDescent="0.35">
      <c r="A4" s="48" t="s">
        <v>173</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row>
    <row r="6" spans="1:67" x14ac:dyDescent="0.35">
      <c r="C6" s="48" t="s">
        <v>97</v>
      </c>
      <c r="D6" s="49"/>
      <c r="E6" s="49"/>
      <c r="F6" s="49"/>
      <c r="G6" s="49"/>
      <c r="H6" s="49"/>
      <c r="I6" s="49"/>
      <c r="J6" s="49"/>
      <c r="K6" s="49"/>
      <c r="L6" s="49"/>
      <c r="M6" s="49"/>
      <c r="N6" s="49"/>
      <c r="O6" s="49"/>
      <c r="P6" s="49"/>
      <c r="Q6" s="49"/>
      <c r="R6" s="49"/>
      <c r="S6" s="49"/>
      <c r="T6" s="49"/>
      <c r="U6" s="49"/>
      <c r="V6" s="49"/>
      <c r="W6" s="49"/>
      <c r="Z6" s="48" t="s">
        <v>127</v>
      </c>
      <c r="AA6" s="49"/>
      <c r="AB6" s="49"/>
      <c r="AC6" s="49"/>
      <c r="AD6" s="49"/>
      <c r="AE6" s="49"/>
      <c r="AF6" s="49"/>
      <c r="AG6" s="49"/>
      <c r="AH6" s="49"/>
      <c r="AI6" s="49"/>
      <c r="AJ6" s="49"/>
      <c r="AK6" s="49"/>
      <c r="AL6" s="49"/>
      <c r="AM6" s="49"/>
      <c r="AN6" s="49"/>
      <c r="AO6" s="49"/>
      <c r="AP6" s="49"/>
      <c r="AQ6" s="49"/>
      <c r="AR6" s="49"/>
      <c r="AS6" s="49"/>
      <c r="AU6" s="48" t="s">
        <v>379</v>
      </c>
      <c r="AV6" s="49"/>
      <c r="AW6" s="49"/>
      <c r="AX6" s="49"/>
      <c r="AY6" s="49"/>
      <c r="AZ6" s="49"/>
      <c r="BA6" s="49"/>
      <c r="BB6" s="49"/>
      <c r="BC6" s="49"/>
      <c r="BD6" s="49"/>
      <c r="BE6" s="49"/>
      <c r="BF6" s="49"/>
      <c r="BG6" s="49"/>
      <c r="BH6" s="49"/>
      <c r="BI6" s="49"/>
      <c r="BJ6" s="49"/>
      <c r="BK6" s="49"/>
      <c r="BL6" s="49"/>
      <c r="BM6" s="49"/>
      <c r="BN6" s="49"/>
      <c r="BO6" s="49"/>
    </row>
    <row r="7" spans="1:67" x14ac:dyDescent="0.35">
      <c r="AV7" s="12" cm="1">
        <f t="array" ref="AV7:BO7">time_index</f>
        <v>1</v>
      </c>
      <c r="AW7" s="12">
        <v>2</v>
      </c>
      <c r="AX7" s="12">
        <v>3</v>
      </c>
      <c r="AY7" s="12">
        <v>4</v>
      </c>
      <c r="AZ7" s="12">
        <v>5</v>
      </c>
      <c r="BA7" s="12">
        <v>6</v>
      </c>
      <c r="BB7" s="12">
        <v>7</v>
      </c>
      <c r="BC7" s="12">
        <v>8</v>
      </c>
      <c r="BD7" s="12">
        <v>9</v>
      </c>
      <c r="BE7" s="12">
        <v>10</v>
      </c>
      <c r="BF7" s="12">
        <v>11</v>
      </c>
      <c r="BG7" s="12">
        <v>12</v>
      </c>
      <c r="BH7" s="12">
        <v>13</v>
      </c>
      <c r="BI7" s="12">
        <v>14</v>
      </c>
      <c r="BJ7" s="12">
        <v>15</v>
      </c>
      <c r="BK7" s="12">
        <v>16</v>
      </c>
      <c r="BL7" s="12">
        <v>17</v>
      </c>
      <c r="BM7" s="12">
        <v>18</v>
      </c>
      <c r="BN7" s="12">
        <v>19</v>
      </c>
      <c r="BO7" s="12">
        <v>20</v>
      </c>
    </row>
    <row r="8" spans="1:67" x14ac:dyDescent="0.35">
      <c r="D8" s="192" cm="1">
        <f t="array" ref="D8:W8">years</f>
        <v>2018</v>
      </c>
      <c r="E8" s="192">
        <v>2019</v>
      </c>
      <c r="F8" s="192">
        <v>2020</v>
      </c>
      <c r="G8" s="192">
        <v>2021</v>
      </c>
      <c r="H8" s="192">
        <v>2022</v>
      </c>
      <c r="I8" s="192">
        <v>2023</v>
      </c>
      <c r="J8" s="192">
        <v>2024</v>
      </c>
      <c r="K8" s="192">
        <v>2025</v>
      </c>
      <c r="L8" s="192">
        <v>2026</v>
      </c>
      <c r="M8" s="192">
        <v>2027</v>
      </c>
      <c r="N8" s="192">
        <v>2028</v>
      </c>
      <c r="O8" s="192">
        <v>2029</v>
      </c>
      <c r="P8" s="192">
        <v>2030</v>
      </c>
      <c r="Q8" s="192">
        <v>2031</v>
      </c>
      <c r="R8" s="192">
        <v>2032</v>
      </c>
      <c r="S8" s="192">
        <v>2033</v>
      </c>
      <c r="T8" s="192">
        <v>2034</v>
      </c>
      <c r="U8" s="192">
        <v>2035</v>
      </c>
      <c r="V8" s="192">
        <v>2036</v>
      </c>
      <c r="W8" s="192">
        <v>2037</v>
      </c>
      <c r="Z8" s="52" cm="1">
        <f t="array" ref="Z8:AS8">years</f>
        <v>2018</v>
      </c>
      <c r="AA8" s="52">
        <v>2019</v>
      </c>
      <c r="AB8" s="52">
        <v>2020</v>
      </c>
      <c r="AC8" s="52">
        <v>2021</v>
      </c>
      <c r="AD8" s="52">
        <v>2022</v>
      </c>
      <c r="AE8" s="52">
        <v>2023</v>
      </c>
      <c r="AF8" s="52">
        <v>2024</v>
      </c>
      <c r="AG8" s="52">
        <v>2025</v>
      </c>
      <c r="AH8" s="52">
        <v>2026</v>
      </c>
      <c r="AI8" s="52">
        <v>2027</v>
      </c>
      <c r="AJ8" s="52">
        <v>2028</v>
      </c>
      <c r="AK8" s="52">
        <v>2029</v>
      </c>
      <c r="AL8" s="52">
        <v>2030</v>
      </c>
      <c r="AM8" s="52">
        <v>2031</v>
      </c>
      <c r="AN8" s="52">
        <v>2032</v>
      </c>
      <c r="AO8" s="52">
        <v>2033</v>
      </c>
      <c r="AP8" s="52">
        <v>2034</v>
      </c>
      <c r="AQ8" s="52">
        <v>2035</v>
      </c>
      <c r="AR8" s="52">
        <v>2036</v>
      </c>
      <c r="AS8" s="52">
        <v>2037</v>
      </c>
      <c r="AV8" s="52" cm="1">
        <f t="array" ref="AV8:BO8">years</f>
        <v>2018</v>
      </c>
      <c r="AW8" s="52">
        <v>2019</v>
      </c>
      <c r="AX8" s="52">
        <v>2020</v>
      </c>
      <c r="AY8" s="52">
        <v>2021</v>
      </c>
      <c r="AZ8" s="52">
        <v>2022</v>
      </c>
      <c r="BA8" s="52">
        <v>2023</v>
      </c>
      <c r="BB8" s="52">
        <v>2024</v>
      </c>
      <c r="BC8" s="52">
        <v>2025</v>
      </c>
      <c r="BD8" s="52">
        <v>2026</v>
      </c>
      <c r="BE8" s="52">
        <v>2027</v>
      </c>
      <c r="BF8" s="52">
        <v>2028</v>
      </c>
      <c r="BG8" s="52">
        <v>2029</v>
      </c>
      <c r="BH8" s="52">
        <v>2030</v>
      </c>
      <c r="BI8" s="52">
        <v>2031</v>
      </c>
      <c r="BJ8" s="52">
        <v>2032</v>
      </c>
      <c r="BK8" s="52">
        <v>2033</v>
      </c>
      <c r="BL8" s="52">
        <v>2034</v>
      </c>
      <c r="BM8" s="52">
        <v>2035</v>
      </c>
      <c r="BN8" s="52">
        <v>2036</v>
      </c>
      <c r="BO8" s="52">
        <v>2037</v>
      </c>
    </row>
    <row r="9" spans="1:67" x14ac:dyDescent="0.35">
      <c r="A9" s="17" t="str" cm="1">
        <f t="array" ref="A9:A24">core_elements</f>
        <v>Application server hardware</v>
      </c>
      <c r="B9" s="17"/>
      <c r="C9" s="17"/>
      <c r="D9" s="26" cm="1">
        <f t="array" ref="D9:W24">core_number_opex*unit_costs_core_opex</f>
        <v>2524798.5292044263</v>
      </c>
      <c r="E9" s="26">
        <v>2628315.2689018077</v>
      </c>
      <c r="F9" s="26">
        <v>2715049.672775567</v>
      </c>
      <c r="G9" s="26">
        <v>2837226.9080504673</v>
      </c>
      <c r="H9" s="26">
        <v>3032995.5647059497</v>
      </c>
      <c r="I9" s="26">
        <v>3214975.2985883066</v>
      </c>
      <c r="J9" s="71">
        <v>3375724.0635177218</v>
      </c>
      <c r="K9" s="71">
        <v>3527631.6463760193</v>
      </c>
      <c r="L9" s="71">
        <v>3686375.0704629403</v>
      </c>
      <c r="M9" s="71">
        <v>3852261.9486337719</v>
      </c>
      <c r="N9" s="71">
        <v>4025613.7363222903</v>
      </c>
      <c r="O9" s="71">
        <v>4206766.3544567926</v>
      </c>
      <c r="P9" s="71">
        <v>4396070.8404073473</v>
      </c>
      <c r="Q9" s="71">
        <v>4593894.0282256771</v>
      </c>
      <c r="R9" s="71">
        <v>4800619.259495833</v>
      </c>
      <c r="S9" s="26">
        <v>5016647.1261731461</v>
      </c>
      <c r="T9" s="26">
        <v>5242396.2468509367</v>
      </c>
      <c r="U9" s="26">
        <v>5478304.0779592283</v>
      </c>
      <c r="V9" s="26">
        <v>5724827.7614673944</v>
      </c>
      <c r="W9" s="26">
        <v>5982445.0107334265</v>
      </c>
      <c r="X9" s="81"/>
      <c r="Y9" s="81"/>
      <c r="Z9" s="26" cm="1">
        <f t="array" ref="Z9:AS24">core_number_noincoming_voice_opex*unit_costs_core_opex</f>
        <v>2524798.5292044263</v>
      </c>
      <c r="AA9" s="26">
        <v>2628315.2689018077</v>
      </c>
      <c r="AB9" s="26">
        <v>2715049.672775567</v>
      </c>
      <c r="AC9" s="26">
        <v>2837226.9080504673</v>
      </c>
      <c r="AD9" s="26">
        <v>3032995.5647059497</v>
      </c>
      <c r="AE9" s="26">
        <v>3214975.2985883066</v>
      </c>
      <c r="AF9" s="26">
        <v>3375724.0635177218</v>
      </c>
      <c r="AG9" s="26">
        <v>3527631.6463760193</v>
      </c>
      <c r="AH9" s="26">
        <v>3686375.0704629403</v>
      </c>
      <c r="AI9" s="26">
        <v>3852261.9486337719</v>
      </c>
      <c r="AJ9" s="26">
        <v>4025613.7363222903</v>
      </c>
      <c r="AK9" s="26">
        <v>4206766.3544567926</v>
      </c>
      <c r="AL9" s="26">
        <v>4396070.8404073473</v>
      </c>
      <c r="AM9" s="26">
        <v>4593894.0282256771</v>
      </c>
      <c r="AN9" s="26">
        <v>4800619.259495833</v>
      </c>
      <c r="AO9" s="26">
        <v>5016647.1261731461</v>
      </c>
      <c r="AP9" s="26">
        <v>5242396.2468509367</v>
      </c>
      <c r="AQ9" s="26">
        <v>5478304.0779592283</v>
      </c>
      <c r="AR9" s="26">
        <v>5724827.7614673944</v>
      </c>
      <c r="AS9" s="26">
        <v>5982445.0107334265</v>
      </c>
      <c r="AV9" s="26" cm="1">
        <f t="array" ref="AV9:BO24">unit_costs_core_opex*core_number_incoming_only_opex</f>
        <v>0</v>
      </c>
      <c r="AW9" s="26">
        <v>0</v>
      </c>
      <c r="AX9" s="26">
        <v>0</v>
      </c>
      <c r="AY9" s="26">
        <v>0</v>
      </c>
      <c r="AZ9" s="26">
        <v>0</v>
      </c>
      <c r="BA9" s="26">
        <v>0</v>
      </c>
      <c r="BB9" s="71">
        <v>0</v>
      </c>
      <c r="BC9" s="71">
        <v>0</v>
      </c>
      <c r="BD9" s="71">
        <v>0</v>
      </c>
      <c r="BE9" s="71">
        <v>0</v>
      </c>
      <c r="BF9" s="71">
        <v>0</v>
      </c>
      <c r="BG9" s="71">
        <v>0</v>
      </c>
      <c r="BH9" s="71">
        <v>0</v>
      </c>
      <c r="BI9" s="71">
        <v>0</v>
      </c>
      <c r="BJ9" s="71">
        <v>0</v>
      </c>
      <c r="BK9" s="26">
        <v>0</v>
      </c>
      <c r="BL9" s="26">
        <v>0</v>
      </c>
      <c r="BM9" s="26">
        <v>0</v>
      </c>
      <c r="BN9" s="26">
        <v>0</v>
      </c>
      <c r="BO9" s="26">
        <v>0</v>
      </c>
    </row>
    <row r="10" spans="1:67" x14ac:dyDescent="0.35">
      <c r="A10" s="17" t="str">
        <v>Application server software</v>
      </c>
      <c r="B10" s="17"/>
      <c r="C10" s="17"/>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81"/>
      <c r="Y10" s="81"/>
      <c r="Z10" s="26">
        <v>0</v>
      </c>
      <c r="AA10" s="26">
        <v>0</v>
      </c>
      <c r="AB10" s="26">
        <v>0</v>
      </c>
      <c r="AC10" s="26">
        <v>0</v>
      </c>
      <c r="AD10" s="26">
        <v>0</v>
      </c>
      <c r="AE10" s="26">
        <v>0</v>
      </c>
      <c r="AF10" s="26">
        <v>0</v>
      </c>
      <c r="AG10" s="26">
        <v>0</v>
      </c>
      <c r="AH10" s="26">
        <v>0</v>
      </c>
      <c r="AI10" s="26">
        <v>0</v>
      </c>
      <c r="AJ10" s="26">
        <v>0</v>
      </c>
      <c r="AK10" s="26">
        <v>0</v>
      </c>
      <c r="AL10" s="26">
        <v>0</v>
      </c>
      <c r="AM10" s="26">
        <v>0</v>
      </c>
      <c r="AN10" s="26">
        <v>0</v>
      </c>
      <c r="AO10" s="26">
        <v>0</v>
      </c>
      <c r="AP10" s="26">
        <v>0</v>
      </c>
      <c r="AQ10" s="26">
        <v>0</v>
      </c>
      <c r="AR10" s="26">
        <v>0</v>
      </c>
      <c r="AS10" s="26">
        <v>0</v>
      </c>
      <c r="AV10" s="26">
        <v>0</v>
      </c>
      <c r="AW10" s="26">
        <v>0</v>
      </c>
      <c r="AX10" s="26">
        <v>0</v>
      </c>
      <c r="AY10" s="26">
        <v>0</v>
      </c>
      <c r="AZ10" s="26">
        <v>0</v>
      </c>
      <c r="BA10" s="26">
        <v>0</v>
      </c>
      <c r="BB10" s="26">
        <v>0</v>
      </c>
      <c r="BC10" s="26">
        <v>0</v>
      </c>
      <c r="BD10" s="26">
        <v>0</v>
      </c>
      <c r="BE10" s="26">
        <v>0</v>
      </c>
      <c r="BF10" s="26">
        <v>0</v>
      </c>
      <c r="BG10" s="26">
        <v>0</v>
      </c>
      <c r="BH10" s="26">
        <v>0</v>
      </c>
      <c r="BI10" s="26">
        <v>0</v>
      </c>
      <c r="BJ10" s="26">
        <v>0</v>
      </c>
      <c r="BK10" s="26">
        <v>0</v>
      </c>
      <c r="BL10" s="26">
        <v>0</v>
      </c>
      <c r="BM10" s="26">
        <v>0</v>
      </c>
      <c r="BN10" s="26">
        <v>0</v>
      </c>
      <c r="BO10" s="26">
        <v>0</v>
      </c>
    </row>
    <row r="11" spans="1:67" x14ac:dyDescent="0.35">
      <c r="A11" s="17" t="str">
        <v>Charging data function hardware</v>
      </c>
      <c r="B11" s="17"/>
      <c r="C11" s="17"/>
      <c r="D11" s="26">
        <v>259048.83209365082</v>
      </c>
      <c r="E11" s="26">
        <v>269669.83420949045</v>
      </c>
      <c r="F11" s="26">
        <v>278568.93873840367</v>
      </c>
      <c r="G11" s="26">
        <v>291104.54098163178</v>
      </c>
      <c r="H11" s="26">
        <v>311190.75430936436</v>
      </c>
      <c r="I11" s="26">
        <v>329862.19956792623</v>
      </c>
      <c r="J11" s="26">
        <v>346355.3095463225</v>
      </c>
      <c r="K11" s="26">
        <v>361941.29847590707</v>
      </c>
      <c r="L11" s="26">
        <v>378228.65690732293</v>
      </c>
      <c r="M11" s="26">
        <v>395248.94646815228</v>
      </c>
      <c r="N11" s="26">
        <v>413035.14905921911</v>
      </c>
      <c r="O11" s="26">
        <v>431621.73076688382</v>
      </c>
      <c r="P11" s="26">
        <v>451044.70865139354</v>
      </c>
      <c r="Q11" s="26">
        <v>471341.72054070613</v>
      </c>
      <c r="R11" s="26">
        <v>492552.09796503797</v>
      </c>
      <c r="S11" s="26">
        <v>514716.94237346464</v>
      </c>
      <c r="T11" s="26">
        <v>537879.20478027058</v>
      </c>
      <c r="U11" s="26">
        <v>562083.76899538259</v>
      </c>
      <c r="V11" s="26">
        <v>587377.53860017483</v>
      </c>
      <c r="W11" s="26">
        <v>613809.52783718286</v>
      </c>
      <c r="X11" s="81"/>
      <c r="Y11" s="81"/>
      <c r="Z11" s="26">
        <v>259048.83209365082</v>
      </c>
      <c r="AA11" s="26">
        <v>269669.83420949045</v>
      </c>
      <c r="AB11" s="26">
        <v>278568.93873840367</v>
      </c>
      <c r="AC11" s="26">
        <v>291104.54098163178</v>
      </c>
      <c r="AD11" s="26">
        <v>311190.75430936436</v>
      </c>
      <c r="AE11" s="26">
        <v>329862.19956792623</v>
      </c>
      <c r="AF11" s="26">
        <v>346355.3095463225</v>
      </c>
      <c r="AG11" s="26">
        <v>361941.29847590707</v>
      </c>
      <c r="AH11" s="26">
        <v>378228.65690732293</v>
      </c>
      <c r="AI11" s="26">
        <v>395248.94646815228</v>
      </c>
      <c r="AJ11" s="26">
        <v>413035.14905921911</v>
      </c>
      <c r="AK11" s="26">
        <v>431621.73076688382</v>
      </c>
      <c r="AL11" s="26">
        <v>451044.70865139354</v>
      </c>
      <c r="AM11" s="26">
        <v>471341.72054070613</v>
      </c>
      <c r="AN11" s="26">
        <v>492552.09796503797</v>
      </c>
      <c r="AO11" s="26">
        <v>514716.94237346464</v>
      </c>
      <c r="AP11" s="26">
        <v>537879.20478027058</v>
      </c>
      <c r="AQ11" s="26">
        <v>562083.76899538259</v>
      </c>
      <c r="AR11" s="26">
        <v>587377.53860017483</v>
      </c>
      <c r="AS11" s="26">
        <v>613809.52783718286</v>
      </c>
      <c r="AV11" s="26">
        <v>0</v>
      </c>
      <c r="AW11" s="26">
        <v>0</v>
      </c>
      <c r="AX11" s="26">
        <v>0</v>
      </c>
      <c r="AY11" s="26">
        <v>0</v>
      </c>
      <c r="AZ11" s="26">
        <v>0</v>
      </c>
      <c r="BA11" s="26">
        <v>0</v>
      </c>
      <c r="BB11" s="26">
        <v>0</v>
      </c>
      <c r="BC11" s="26">
        <v>0</v>
      </c>
      <c r="BD11" s="26">
        <v>0</v>
      </c>
      <c r="BE11" s="26">
        <v>0</v>
      </c>
      <c r="BF11" s="26">
        <v>0</v>
      </c>
      <c r="BG11" s="26">
        <v>0</v>
      </c>
      <c r="BH11" s="26">
        <v>0</v>
      </c>
      <c r="BI11" s="26">
        <v>0</v>
      </c>
      <c r="BJ11" s="26">
        <v>0</v>
      </c>
      <c r="BK11" s="26">
        <v>0</v>
      </c>
      <c r="BL11" s="26">
        <v>0</v>
      </c>
      <c r="BM11" s="26">
        <v>0</v>
      </c>
      <c r="BN11" s="26">
        <v>0</v>
      </c>
      <c r="BO11" s="26">
        <v>0</v>
      </c>
    </row>
    <row r="12" spans="1:67" x14ac:dyDescent="0.35">
      <c r="A12" s="17" t="str">
        <v>Charging data function software</v>
      </c>
      <c r="B12" s="17"/>
      <c r="C12" s="17"/>
      <c r="D12" s="26">
        <v>25910.209048840687</v>
      </c>
      <c r="E12" s="26">
        <v>26972.527619843157</v>
      </c>
      <c r="F12" s="26">
        <v>27862.621031297978</v>
      </c>
      <c r="G12" s="26">
        <v>29116.438977706384</v>
      </c>
      <c r="H12" s="26">
        <v>31125.473267168127</v>
      </c>
      <c r="I12" s="26">
        <v>32993.001663198207</v>
      </c>
      <c r="J12" s="26">
        <v>34642.651746358126</v>
      </c>
      <c r="K12" s="26">
        <v>36201.571074944237</v>
      </c>
      <c r="L12" s="26">
        <v>16663.496971579985</v>
      </c>
      <c r="M12" s="26">
        <v>17413.354335301083</v>
      </c>
      <c r="N12" s="26">
        <v>18196.955280389626</v>
      </c>
      <c r="O12" s="26">
        <v>19015.818268007155</v>
      </c>
      <c r="P12" s="26">
        <v>19871.53009006747</v>
      </c>
      <c r="Q12" s="26">
        <v>20765.748944120507</v>
      </c>
      <c r="R12" s="26">
        <v>21700.207646605933</v>
      </c>
      <c r="S12" s="26">
        <v>22676.716990703193</v>
      </c>
      <c r="T12" s="26">
        <v>10887.888576752495</v>
      </c>
      <c r="U12" s="26">
        <v>11377.843562706355</v>
      </c>
      <c r="V12" s="26">
        <v>11889.846523028142</v>
      </c>
      <c r="W12" s="26">
        <v>12424.889616564409</v>
      </c>
      <c r="X12" s="81"/>
      <c r="Y12" s="81"/>
      <c r="Z12" s="26">
        <v>19124.201917001461</v>
      </c>
      <c r="AA12" s="26">
        <v>19908.294195598519</v>
      </c>
      <c r="AB12" s="26">
        <v>20565.267904053271</v>
      </c>
      <c r="AC12" s="26">
        <v>21490.704959735667</v>
      </c>
      <c r="AD12" s="26">
        <v>22973.563601957427</v>
      </c>
      <c r="AE12" s="26">
        <v>24351.977418074868</v>
      </c>
      <c r="AF12" s="26">
        <v>25569.576288978617</v>
      </c>
      <c r="AG12" s="26">
        <v>26720.207221982651</v>
      </c>
      <c r="AH12" s="26">
        <v>11709.484358407557</v>
      </c>
      <c r="AI12" s="26">
        <v>12236.411154535896</v>
      </c>
      <c r="AJ12" s="26">
        <v>12787.049656490008</v>
      </c>
      <c r="AK12" s="26">
        <v>13362.466891032054</v>
      </c>
      <c r="AL12" s="26">
        <v>13963.777901128493</v>
      </c>
      <c r="AM12" s="26">
        <v>14592.147906679274</v>
      </c>
      <c r="AN12" s="26">
        <v>15248.794562479845</v>
      </c>
      <c r="AO12" s="26">
        <v>15934.990317791435</v>
      </c>
      <c r="AP12" s="26">
        <v>7685.5684071194082</v>
      </c>
      <c r="AQ12" s="26">
        <v>8031.418985439781</v>
      </c>
      <c r="AR12" s="26">
        <v>8392.8328397845708</v>
      </c>
      <c r="AS12" s="26">
        <v>8770.5103175748773</v>
      </c>
      <c r="AV12" s="26">
        <v>6786.0071318392274</v>
      </c>
      <c r="AW12" s="26">
        <v>7064.2334242446359</v>
      </c>
      <c r="AX12" s="26">
        <v>7297.353127244709</v>
      </c>
      <c r="AY12" s="26">
        <v>7625.7340179707198</v>
      </c>
      <c r="AZ12" s="26">
        <v>8151.9096652107</v>
      </c>
      <c r="BA12" s="26">
        <v>8641.0242451233407</v>
      </c>
      <c r="BB12" s="26">
        <v>9073.0754573795093</v>
      </c>
      <c r="BC12" s="26">
        <v>9481.3638529615855</v>
      </c>
      <c r="BD12" s="26">
        <v>4954.0126131724282</v>
      </c>
      <c r="BE12" s="26">
        <v>5176.9431807651872</v>
      </c>
      <c r="BF12" s="26">
        <v>5409.9056238996191</v>
      </c>
      <c r="BG12" s="26">
        <v>5653.3513769751007</v>
      </c>
      <c r="BH12" s="26">
        <v>5907.7521889389782</v>
      </c>
      <c r="BI12" s="26">
        <v>6173.6010374412317</v>
      </c>
      <c r="BJ12" s="26">
        <v>6451.4130841260876</v>
      </c>
      <c r="BK12" s="26">
        <v>6741.72667291176</v>
      </c>
      <c r="BL12" s="26">
        <v>3202.3201696330871</v>
      </c>
      <c r="BM12" s="26">
        <v>3346.4245772665754</v>
      </c>
      <c r="BN12" s="26">
        <v>3497.0136832435714</v>
      </c>
      <c r="BO12" s="26">
        <v>3654.3792989895319</v>
      </c>
    </row>
    <row r="13" spans="1:67" x14ac:dyDescent="0.35">
      <c r="A13" s="17" t="str">
        <v>Proxy - Call session control function hardware</v>
      </c>
      <c r="B13" s="17"/>
      <c r="C13" s="17"/>
      <c r="D13" s="26">
        <v>878255.339625619</v>
      </c>
      <c r="E13" s="26">
        <v>914263.80855026923</v>
      </c>
      <c r="F13" s="26">
        <v>944434.51423242816</v>
      </c>
      <c r="G13" s="26">
        <v>986934.06737288728</v>
      </c>
      <c r="H13" s="26">
        <v>1055032.5180216166</v>
      </c>
      <c r="I13" s="26">
        <v>1118334.4691029135</v>
      </c>
      <c r="J13" s="26">
        <v>1174251.1925580592</v>
      </c>
      <c r="K13" s="26">
        <v>1227092.4962231722</v>
      </c>
      <c r="L13" s="26">
        <v>1282311.6585532147</v>
      </c>
      <c r="M13" s="26">
        <v>1340015.6831881087</v>
      </c>
      <c r="N13" s="26">
        <v>1400316.3889315736</v>
      </c>
      <c r="O13" s="26">
        <v>1463330.626433494</v>
      </c>
      <c r="P13" s="26">
        <v>1529180.5046230007</v>
      </c>
      <c r="Q13" s="26">
        <v>1597993.6273310357</v>
      </c>
      <c r="R13" s="26">
        <v>1669903.3405609322</v>
      </c>
      <c r="S13" s="26">
        <v>1745048.9908861741</v>
      </c>
      <c r="T13" s="26">
        <v>1823576.1954760519</v>
      </c>
      <c r="U13" s="26">
        <v>1905637.1242724743</v>
      </c>
      <c r="V13" s="26">
        <v>1991390.7948647356</v>
      </c>
      <c r="W13" s="26">
        <v>2081003.380633649</v>
      </c>
      <c r="X13" s="81"/>
      <c r="Y13" s="81"/>
      <c r="Z13" s="26">
        <v>878255.339625619</v>
      </c>
      <c r="AA13" s="26">
        <v>914263.80855026923</v>
      </c>
      <c r="AB13" s="26">
        <v>944434.51423242816</v>
      </c>
      <c r="AC13" s="26">
        <v>986934.06737288728</v>
      </c>
      <c r="AD13" s="26">
        <v>1055032.5180216166</v>
      </c>
      <c r="AE13" s="26">
        <v>1118334.4691029135</v>
      </c>
      <c r="AF13" s="26">
        <v>1174251.1925580592</v>
      </c>
      <c r="AG13" s="26">
        <v>1227092.4962231722</v>
      </c>
      <c r="AH13" s="26">
        <v>1282311.6585532147</v>
      </c>
      <c r="AI13" s="26">
        <v>1340015.6831881087</v>
      </c>
      <c r="AJ13" s="26">
        <v>1400316.3889315736</v>
      </c>
      <c r="AK13" s="26">
        <v>1463330.626433494</v>
      </c>
      <c r="AL13" s="26">
        <v>1529180.5046230007</v>
      </c>
      <c r="AM13" s="26">
        <v>1597993.6273310357</v>
      </c>
      <c r="AN13" s="26">
        <v>1669903.3405609322</v>
      </c>
      <c r="AO13" s="26">
        <v>1745048.9908861741</v>
      </c>
      <c r="AP13" s="26">
        <v>1823576.1954760519</v>
      </c>
      <c r="AQ13" s="26">
        <v>1905637.1242724743</v>
      </c>
      <c r="AR13" s="26">
        <v>1991390.7948647356</v>
      </c>
      <c r="AS13" s="26">
        <v>2081003.380633649</v>
      </c>
      <c r="AV13" s="26">
        <v>0</v>
      </c>
      <c r="AW13" s="26">
        <v>0</v>
      </c>
      <c r="AX13" s="26">
        <v>0</v>
      </c>
      <c r="AY13" s="26">
        <v>0</v>
      </c>
      <c r="AZ13" s="26">
        <v>0</v>
      </c>
      <c r="BA13" s="26">
        <v>0</v>
      </c>
      <c r="BB13" s="26">
        <v>0</v>
      </c>
      <c r="BC13" s="26">
        <v>0</v>
      </c>
      <c r="BD13" s="26">
        <v>0</v>
      </c>
      <c r="BE13" s="26">
        <v>0</v>
      </c>
      <c r="BF13" s="26">
        <v>0</v>
      </c>
      <c r="BG13" s="26">
        <v>0</v>
      </c>
      <c r="BH13" s="26">
        <v>0</v>
      </c>
      <c r="BI13" s="26">
        <v>0</v>
      </c>
      <c r="BJ13" s="26">
        <v>0</v>
      </c>
      <c r="BK13" s="26">
        <v>0</v>
      </c>
      <c r="BL13" s="26">
        <v>0</v>
      </c>
      <c r="BM13" s="26">
        <v>0</v>
      </c>
      <c r="BN13" s="26">
        <v>0</v>
      </c>
      <c r="BO13" s="26">
        <v>0</v>
      </c>
    </row>
    <row r="14" spans="1:67" x14ac:dyDescent="0.35">
      <c r="A14" s="17" t="str">
        <v>Proxy - Call session control function software</v>
      </c>
      <c r="B14" s="17"/>
      <c r="C14" s="17"/>
      <c r="D14" s="26">
        <v>1711591.6614740342</v>
      </c>
      <c r="E14" s="26">
        <v>1781766.9195944692</v>
      </c>
      <c r="F14" s="26">
        <v>1840565.2279410865</v>
      </c>
      <c r="G14" s="26">
        <v>1923390.6631984352</v>
      </c>
      <c r="H14" s="26">
        <v>2056104.6189591277</v>
      </c>
      <c r="I14" s="26">
        <v>2179470.8960966752</v>
      </c>
      <c r="J14" s="26">
        <v>2288444.4409015086</v>
      </c>
      <c r="K14" s="26">
        <v>2391424.4407420768</v>
      </c>
      <c r="L14" s="26">
        <v>1105175.7373140063</v>
      </c>
      <c r="M14" s="26">
        <v>1154908.645493136</v>
      </c>
      <c r="N14" s="26">
        <v>1206879.534540327</v>
      </c>
      <c r="O14" s="26">
        <v>1261189.1135946412</v>
      </c>
      <c r="P14" s="26">
        <v>1317942.6237064002</v>
      </c>
      <c r="Q14" s="26">
        <v>1377250.0417731877</v>
      </c>
      <c r="R14" s="26">
        <v>1439226.2936529813</v>
      </c>
      <c r="S14" s="26">
        <v>1503991.4768673654</v>
      </c>
      <c r="T14" s="26">
        <v>704971.20281131263</v>
      </c>
      <c r="U14" s="26">
        <v>736694.90693782142</v>
      </c>
      <c r="V14" s="26">
        <v>769846.17775002355</v>
      </c>
      <c r="W14" s="26">
        <v>804489.25574877486</v>
      </c>
      <c r="X14" s="81"/>
      <c r="Y14" s="81"/>
      <c r="Z14" s="26">
        <v>1264221.145522828</v>
      </c>
      <c r="AA14" s="26">
        <v>1316054.2124892636</v>
      </c>
      <c r="AB14" s="26">
        <v>1359484.0015014093</v>
      </c>
      <c r="AC14" s="26">
        <v>1420660.7815689726</v>
      </c>
      <c r="AD14" s="26">
        <v>1518686.375497232</v>
      </c>
      <c r="AE14" s="26">
        <v>1609807.5580270658</v>
      </c>
      <c r="AF14" s="26">
        <v>1690297.9359284188</v>
      </c>
      <c r="AG14" s="26">
        <v>1766361.3430451981</v>
      </c>
      <c r="AH14" s="26">
        <v>769832.1758598882</v>
      </c>
      <c r="AI14" s="26">
        <v>804474.62377358298</v>
      </c>
      <c r="AJ14" s="26">
        <v>840675.98184339411</v>
      </c>
      <c r="AK14" s="26">
        <v>878506.40102634649</v>
      </c>
      <c r="AL14" s="26">
        <v>918039.189072532</v>
      </c>
      <c r="AM14" s="26">
        <v>959350.95258079562</v>
      </c>
      <c r="AN14" s="26">
        <v>1002521.7454469316</v>
      </c>
      <c r="AO14" s="26">
        <v>1047635.2239920435</v>
      </c>
      <c r="AP14" s="26">
        <v>489332.95253961702</v>
      </c>
      <c r="AQ14" s="26">
        <v>511352.93540389958</v>
      </c>
      <c r="AR14" s="26">
        <v>534363.81749707507</v>
      </c>
      <c r="AS14" s="26">
        <v>558410.18928444374</v>
      </c>
      <c r="AV14" s="26">
        <v>447370.51595120615</v>
      </c>
      <c r="AW14" s="26">
        <v>465712.70710520551</v>
      </c>
      <c r="AX14" s="26">
        <v>481081.22643967724</v>
      </c>
      <c r="AY14" s="26">
        <v>502729.8816294627</v>
      </c>
      <c r="AZ14" s="26">
        <v>537418.24346189573</v>
      </c>
      <c r="BA14" s="26">
        <v>569663.33806960937</v>
      </c>
      <c r="BB14" s="26">
        <v>598146.50497308979</v>
      </c>
      <c r="BC14" s="26">
        <v>625063.09769687895</v>
      </c>
      <c r="BD14" s="26">
        <v>335343.561454118</v>
      </c>
      <c r="BE14" s="26">
        <v>350434.02171955316</v>
      </c>
      <c r="BF14" s="26">
        <v>366203.55269693304</v>
      </c>
      <c r="BG14" s="26">
        <v>382682.71256829484</v>
      </c>
      <c r="BH14" s="26">
        <v>399903.43463386811</v>
      </c>
      <c r="BI14" s="26">
        <v>417899.08919239207</v>
      </c>
      <c r="BJ14" s="26">
        <v>436704.54820604972</v>
      </c>
      <c r="BK14" s="26">
        <v>456356.25287532201</v>
      </c>
      <c r="BL14" s="26">
        <v>215638.25027169564</v>
      </c>
      <c r="BM14" s="26">
        <v>225341.97153392184</v>
      </c>
      <c r="BN14" s="26">
        <v>235482.36025294836</v>
      </c>
      <c r="BO14" s="26">
        <v>246079.06646433112</v>
      </c>
    </row>
    <row r="15" spans="1:67" x14ac:dyDescent="0.35">
      <c r="A15" s="17" t="str">
        <v>Interrogating - Call session control function hardware</v>
      </c>
      <c r="B15" s="17"/>
      <c r="C15" s="17"/>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81"/>
      <c r="Y15" s="81"/>
      <c r="Z15" s="26">
        <v>0</v>
      </c>
      <c r="AA15" s="26">
        <v>0</v>
      </c>
      <c r="AB15" s="26">
        <v>0</v>
      </c>
      <c r="AC15" s="26">
        <v>0</v>
      </c>
      <c r="AD15" s="26">
        <v>0</v>
      </c>
      <c r="AE15" s="26">
        <v>0</v>
      </c>
      <c r="AF15" s="26">
        <v>0</v>
      </c>
      <c r="AG15" s="26">
        <v>0</v>
      </c>
      <c r="AH15" s="26">
        <v>0</v>
      </c>
      <c r="AI15" s="26">
        <v>0</v>
      </c>
      <c r="AJ15" s="26">
        <v>0</v>
      </c>
      <c r="AK15" s="26">
        <v>0</v>
      </c>
      <c r="AL15" s="26">
        <v>0</v>
      </c>
      <c r="AM15" s="26">
        <v>0</v>
      </c>
      <c r="AN15" s="26">
        <v>0</v>
      </c>
      <c r="AO15" s="26">
        <v>0</v>
      </c>
      <c r="AP15" s="26">
        <v>0</v>
      </c>
      <c r="AQ15" s="26">
        <v>0</v>
      </c>
      <c r="AR15" s="26">
        <v>0</v>
      </c>
      <c r="AS15" s="26">
        <v>0</v>
      </c>
      <c r="AV15" s="26">
        <v>0</v>
      </c>
      <c r="AW15" s="26">
        <v>0</v>
      </c>
      <c r="AX15" s="26">
        <v>0</v>
      </c>
      <c r="AY15" s="26">
        <v>0</v>
      </c>
      <c r="AZ15" s="26">
        <v>0</v>
      </c>
      <c r="BA15" s="26">
        <v>0</v>
      </c>
      <c r="BB15" s="26">
        <v>0</v>
      </c>
      <c r="BC15" s="26">
        <v>0</v>
      </c>
      <c r="BD15" s="26">
        <v>0</v>
      </c>
      <c r="BE15" s="26">
        <v>0</v>
      </c>
      <c r="BF15" s="26">
        <v>0</v>
      </c>
      <c r="BG15" s="26">
        <v>0</v>
      </c>
      <c r="BH15" s="26">
        <v>0</v>
      </c>
      <c r="BI15" s="26">
        <v>0</v>
      </c>
      <c r="BJ15" s="26">
        <v>0</v>
      </c>
      <c r="BK15" s="26">
        <v>0</v>
      </c>
      <c r="BL15" s="26">
        <v>0</v>
      </c>
      <c r="BM15" s="26">
        <v>0</v>
      </c>
      <c r="BN15" s="26">
        <v>0</v>
      </c>
      <c r="BO15" s="26">
        <v>0</v>
      </c>
    </row>
    <row r="16" spans="1:67" x14ac:dyDescent="0.35">
      <c r="A16" s="17" t="str">
        <v>Interrogating - Call session control function software</v>
      </c>
      <c r="B16" s="17"/>
      <c r="C16" s="17"/>
      <c r="D16" s="26">
        <v>342318.33229480684</v>
      </c>
      <c r="E16" s="26">
        <v>356353.38391889387</v>
      </c>
      <c r="F16" s="26">
        <v>368113.04558821733</v>
      </c>
      <c r="G16" s="26">
        <v>384678.13263968698</v>
      </c>
      <c r="H16" s="26">
        <v>411220.92379182542</v>
      </c>
      <c r="I16" s="26">
        <v>435894.17921933497</v>
      </c>
      <c r="J16" s="26">
        <v>457688.8881803017</v>
      </c>
      <c r="K16" s="26">
        <v>478284.88814841537</v>
      </c>
      <c r="L16" s="26">
        <v>221035.14746280119</v>
      </c>
      <c r="M16" s="26">
        <v>230981.72909862723</v>
      </c>
      <c r="N16" s="26">
        <v>241375.90690806537</v>
      </c>
      <c r="O16" s="26">
        <v>252237.82271892825</v>
      </c>
      <c r="P16" s="26">
        <v>263588.52474128001</v>
      </c>
      <c r="Q16" s="26">
        <v>275450.0083546376</v>
      </c>
      <c r="R16" s="26">
        <v>287845.25873059622</v>
      </c>
      <c r="S16" s="26">
        <v>300798.29537347314</v>
      </c>
      <c r="T16" s="26">
        <v>140994.24056226248</v>
      </c>
      <c r="U16" s="26">
        <v>147338.98138756427</v>
      </c>
      <c r="V16" s="26">
        <v>153969.2355500047</v>
      </c>
      <c r="W16" s="26">
        <v>160897.85114975492</v>
      </c>
      <c r="X16" s="81"/>
      <c r="Y16" s="81"/>
      <c r="Z16" s="26">
        <v>252844.2291045656</v>
      </c>
      <c r="AA16" s="26">
        <v>263210.84249785281</v>
      </c>
      <c r="AB16" s="26">
        <v>271896.8003002819</v>
      </c>
      <c r="AC16" s="26">
        <v>284132.15631379449</v>
      </c>
      <c r="AD16" s="26">
        <v>303737.27509944636</v>
      </c>
      <c r="AE16" s="26">
        <v>321961.51160541311</v>
      </c>
      <c r="AF16" s="26">
        <v>338059.58718568372</v>
      </c>
      <c r="AG16" s="26">
        <v>353272.2686090396</v>
      </c>
      <c r="AH16" s="26">
        <v>153966.43517197762</v>
      </c>
      <c r="AI16" s="26">
        <v>160894.9247547166</v>
      </c>
      <c r="AJ16" s="26">
        <v>168135.19636867879</v>
      </c>
      <c r="AK16" s="26">
        <v>175701.28020526929</v>
      </c>
      <c r="AL16" s="26">
        <v>183607.83781450638</v>
      </c>
      <c r="AM16" s="26">
        <v>191870.19051615917</v>
      </c>
      <c r="AN16" s="26">
        <v>200504.34908938629</v>
      </c>
      <c r="AO16" s="26">
        <v>209527.04479840872</v>
      </c>
      <c r="AP16" s="26">
        <v>97866.590507923378</v>
      </c>
      <c r="AQ16" s="26">
        <v>102270.58708077989</v>
      </c>
      <c r="AR16" s="26">
        <v>106872.76349941503</v>
      </c>
      <c r="AS16" s="26">
        <v>111682.03785688871</v>
      </c>
      <c r="AV16" s="26">
        <v>89474.103190241221</v>
      </c>
      <c r="AW16" s="26">
        <v>93142.541421041111</v>
      </c>
      <c r="AX16" s="26">
        <v>96216.245287935453</v>
      </c>
      <c r="AY16" s="26">
        <v>100545.97632589252</v>
      </c>
      <c r="AZ16" s="26">
        <v>107483.64869237911</v>
      </c>
      <c r="BA16" s="26">
        <v>113932.66761392186</v>
      </c>
      <c r="BB16" s="26">
        <v>119629.30099461795</v>
      </c>
      <c r="BC16" s="26">
        <v>125012.61953937578</v>
      </c>
      <c r="BD16" s="26">
        <v>67068.712290823591</v>
      </c>
      <c r="BE16" s="26">
        <v>70086.80434391064</v>
      </c>
      <c r="BF16" s="26">
        <v>73240.710539386593</v>
      </c>
      <c r="BG16" s="26">
        <v>76536.542513658962</v>
      </c>
      <c r="BH16" s="26">
        <v>79980.686926773618</v>
      </c>
      <c r="BI16" s="26">
        <v>83579.817838478426</v>
      </c>
      <c r="BJ16" s="26">
        <v>87340.909641209932</v>
      </c>
      <c r="BK16" s="26">
        <v>91271.250575064405</v>
      </c>
      <c r="BL16" s="26">
        <v>43127.650054339116</v>
      </c>
      <c r="BM16" s="26">
        <v>45068.394306784365</v>
      </c>
      <c r="BN16" s="26">
        <v>47096.472050589677</v>
      </c>
      <c r="BO16" s="26">
        <v>49215.813292866209</v>
      </c>
    </row>
    <row r="17" spans="1:68" x14ac:dyDescent="0.35">
      <c r="A17" s="17" t="str">
        <v>Serving - Call session control function hardware</v>
      </c>
      <c r="B17" s="17"/>
      <c r="C17" s="17"/>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81"/>
      <c r="Y17" s="81"/>
      <c r="Z17" s="26">
        <v>0</v>
      </c>
      <c r="AA17" s="26">
        <v>0</v>
      </c>
      <c r="AB17" s="26">
        <v>0</v>
      </c>
      <c r="AC17" s="26">
        <v>0</v>
      </c>
      <c r="AD17" s="26">
        <v>0</v>
      </c>
      <c r="AE17" s="26">
        <v>0</v>
      </c>
      <c r="AF17" s="26">
        <v>0</v>
      </c>
      <c r="AG17" s="26">
        <v>0</v>
      </c>
      <c r="AH17" s="26">
        <v>0</v>
      </c>
      <c r="AI17" s="26">
        <v>0</v>
      </c>
      <c r="AJ17" s="26">
        <v>0</v>
      </c>
      <c r="AK17" s="26">
        <v>0</v>
      </c>
      <c r="AL17" s="26">
        <v>0</v>
      </c>
      <c r="AM17" s="26">
        <v>0</v>
      </c>
      <c r="AN17" s="26">
        <v>0</v>
      </c>
      <c r="AO17" s="26">
        <v>0</v>
      </c>
      <c r="AP17" s="26">
        <v>0</v>
      </c>
      <c r="AQ17" s="26">
        <v>0</v>
      </c>
      <c r="AR17" s="26">
        <v>0</v>
      </c>
      <c r="AS17" s="26">
        <v>0</v>
      </c>
      <c r="AV17" s="26">
        <v>0</v>
      </c>
      <c r="AW17" s="26">
        <v>0</v>
      </c>
      <c r="AX17" s="26">
        <v>0</v>
      </c>
      <c r="AY17" s="26">
        <v>0</v>
      </c>
      <c r="AZ17" s="26">
        <v>0</v>
      </c>
      <c r="BA17" s="26">
        <v>0</v>
      </c>
      <c r="BB17" s="26">
        <v>0</v>
      </c>
      <c r="BC17" s="26">
        <v>0</v>
      </c>
      <c r="BD17" s="26">
        <v>0</v>
      </c>
      <c r="BE17" s="26">
        <v>0</v>
      </c>
      <c r="BF17" s="26">
        <v>0</v>
      </c>
      <c r="BG17" s="26">
        <v>0</v>
      </c>
      <c r="BH17" s="26">
        <v>0</v>
      </c>
      <c r="BI17" s="26">
        <v>0</v>
      </c>
      <c r="BJ17" s="26">
        <v>0</v>
      </c>
      <c r="BK17" s="26">
        <v>0</v>
      </c>
      <c r="BL17" s="26">
        <v>0</v>
      </c>
      <c r="BM17" s="26">
        <v>0</v>
      </c>
      <c r="BN17" s="26">
        <v>0</v>
      </c>
      <c r="BO17" s="26">
        <v>0</v>
      </c>
    </row>
    <row r="18" spans="1:68" x14ac:dyDescent="0.35">
      <c r="A18" s="17" t="str">
        <v>Serving - Call session control function software</v>
      </c>
      <c r="B18" s="17"/>
      <c r="C18" s="17"/>
      <c r="D18" s="26">
        <v>1711591.6614740342</v>
      </c>
      <c r="E18" s="26">
        <v>1781766.9195944692</v>
      </c>
      <c r="F18" s="26">
        <v>1840565.2279410865</v>
      </c>
      <c r="G18" s="26">
        <v>1923390.6631984352</v>
      </c>
      <c r="H18" s="26">
        <v>2056104.6189591277</v>
      </c>
      <c r="I18" s="26">
        <v>2179470.8960966752</v>
      </c>
      <c r="J18" s="26">
        <v>2288444.4409015086</v>
      </c>
      <c r="K18" s="26">
        <v>2391424.4407420768</v>
      </c>
      <c r="L18" s="26">
        <v>1105175.7373140063</v>
      </c>
      <c r="M18" s="26">
        <v>1154908.645493136</v>
      </c>
      <c r="N18" s="26">
        <v>1206879.534540327</v>
      </c>
      <c r="O18" s="26">
        <v>1261189.1135946412</v>
      </c>
      <c r="P18" s="26">
        <v>1317942.6237064002</v>
      </c>
      <c r="Q18" s="26">
        <v>1377250.0417731877</v>
      </c>
      <c r="R18" s="26">
        <v>1439226.2936529813</v>
      </c>
      <c r="S18" s="26">
        <v>1503991.4768673654</v>
      </c>
      <c r="T18" s="26">
        <v>704971.20281131263</v>
      </c>
      <c r="U18" s="26">
        <v>736694.90693782142</v>
      </c>
      <c r="V18" s="26">
        <v>769846.17775002355</v>
      </c>
      <c r="W18" s="26">
        <v>804489.25574877486</v>
      </c>
      <c r="X18" s="81"/>
      <c r="Y18" s="81"/>
      <c r="Z18" s="26">
        <v>1264221.145522828</v>
      </c>
      <c r="AA18" s="26">
        <v>1316054.2124892636</v>
      </c>
      <c r="AB18" s="26">
        <v>1359484.0015014093</v>
      </c>
      <c r="AC18" s="26">
        <v>1420660.7815689726</v>
      </c>
      <c r="AD18" s="26">
        <v>1518686.375497232</v>
      </c>
      <c r="AE18" s="26">
        <v>1609807.5580270658</v>
      </c>
      <c r="AF18" s="26">
        <v>1690297.9359284188</v>
      </c>
      <c r="AG18" s="26">
        <v>1766361.3430451981</v>
      </c>
      <c r="AH18" s="26">
        <v>769832.1758598882</v>
      </c>
      <c r="AI18" s="26">
        <v>804474.62377358298</v>
      </c>
      <c r="AJ18" s="26">
        <v>840675.98184339411</v>
      </c>
      <c r="AK18" s="26">
        <v>878506.40102634649</v>
      </c>
      <c r="AL18" s="26">
        <v>918039.189072532</v>
      </c>
      <c r="AM18" s="26">
        <v>959350.95258079562</v>
      </c>
      <c r="AN18" s="26">
        <v>1002521.7454469316</v>
      </c>
      <c r="AO18" s="26">
        <v>1047635.2239920435</v>
      </c>
      <c r="AP18" s="26">
        <v>489332.95253961702</v>
      </c>
      <c r="AQ18" s="26">
        <v>511352.93540389958</v>
      </c>
      <c r="AR18" s="26">
        <v>534363.81749707507</v>
      </c>
      <c r="AS18" s="26">
        <v>558410.18928444374</v>
      </c>
      <c r="AV18" s="26">
        <v>447370.51595120615</v>
      </c>
      <c r="AW18" s="26">
        <v>465712.70710520551</v>
      </c>
      <c r="AX18" s="26">
        <v>481081.22643967724</v>
      </c>
      <c r="AY18" s="26">
        <v>502729.8816294627</v>
      </c>
      <c r="AZ18" s="26">
        <v>537418.24346189573</v>
      </c>
      <c r="BA18" s="26">
        <v>569663.33806960937</v>
      </c>
      <c r="BB18" s="26">
        <v>598146.50497308979</v>
      </c>
      <c r="BC18" s="26">
        <v>625063.09769687895</v>
      </c>
      <c r="BD18" s="26">
        <v>335343.561454118</v>
      </c>
      <c r="BE18" s="26">
        <v>350434.02171955316</v>
      </c>
      <c r="BF18" s="26">
        <v>366203.55269693304</v>
      </c>
      <c r="BG18" s="26">
        <v>382682.71256829484</v>
      </c>
      <c r="BH18" s="26">
        <v>399903.43463386811</v>
      </c>
      <c r="BI18" s="26">
        <v>417899.08919239207</v>
      </c>
      <c r="BJ18" s="26">
        <v>436704.54820604972</v>
      </c>
      <c r="BK18" s="26">
        <v>456356.25287532201</v>
      </c>
      <c r="BL18" s="26">
        <v>215638.25027169564</v>
      </c>
      <c r="BM18" s="26">
        <v>225341.97153392184</v>
      </c>
      <c r="BN18" s="26">
        <v>235482.36025294836</v>
      </c>
      <c r="BO18" s="26">
        <v>246079.06646433112</v>
      </c>
    </row>
    <row r="19" spans="1:68" x14ac:dyDescent="0.35">
      <c r="A19" s="17" t="str">
        <v>Media resource function - hardware</v>
      </c>
      <c r="B19" s="17"/>
      <c r="C19" s="17"/>
      <c r="D19" s="26">
        <v>1398032.8623475193</v>
      </c>
      <c r="E19" s="26">
        <v>1455352.2097037672</v>
      </c>
      <c r="F19" s="26">
        <v>1503378.8326239916</v>
      </c>
      <c r="G19" s="26">
        <v>1571030.8800920709</v>
      </c>
      <c r="H19" s="26">
        <v>1679432.0108184242</v>
      </c>
      <c r="I19" s="26">
        <v>1780197.9314675296</v>
      </c>
      <c r="J19" s="26">
        <v>1869207.8280409062</v>
      </c>
      <c r="K19" s="26">
        <v>1953322.1803027466</v>
      </c>
      <c r="L19" s="26">
        <v>874809.29074987303</v>
      </c>
      <c r="M19" s="26">
        <v>914175.70883361704</v>
      </c>
      <c r="N19" s="26">
        <v>955313.61573112977</v>
      </c>
      <c r="O19" s="26">
        <v>998302.72843903012</v>
      </c>
      <c r="P19" s="26">
        <v>1043226.3512187864</v>
      </c>
      <c r="Q19" s="26">
        <v>1090171.5370236314</v>
      </c>
      <c r="R19" s="26">
        <v>1139229.2561896953</v>
      </c>
      <c r="S19" s="26">
        <v>1190494.5727182312</v>
      </c>
      <c r="T19" s="26">
        <v>829377.88566036779</v>
      </c>
      <c r="U19" s="26">
        <v>866699.89051508415</v>
      </c>
      <c r="V19" s="26">
        <v>905701.38558826316</v>
      </c>
      <c r="W19" s="26">
        <v>946457.94793973491</v>
      </c>
      <c r="X19" s="81"/>
      <c r="Y19" s="81"/>
      <c r="Z19" s="26">
        <v>998594.90167679952</v>
      </c>
      <c r="AA19" s="26">
        <v>1039537.292645548</v>
      </c>
      <c r="AB19" s="26">
        <v>1073842.0233028512</v>
      </c>
      <c r="AC19" s="26">
        <v>1122164.9143514792</v>
      </c>
      <c r="AD19" s="26">
        <v>1199594.2934417315</v>
      </c>
      <c r="AE19" s="26">
        <v>1271569.9510482354</v>
      </c>
      <c r="AF19" s="26">
        <v>1335148.4486006475</v>
      </c>
      <c r="AG19" s="26">
        <v>1395230.1287876763</v>
      </c>
      <c r="AH19" s="26">
        <v>583206.19383324869</v>
      </c>
      <c r="AI19" s="26">
        <v>609450.47255574469</v>
      </c>
      <c r="AJ19" s="26">
        <v>636875.74382075318</v>
      </c>
      <c r="AK19" s="26">
        <v>665535.15229268675</v>
      </c>
      <c r="AL19" s="26">
        <v>695484.23414585763</v>
      </c>
      <c r="AM19" s="26">
        <v>726781.024682421</v>
      </c>
      <c r="AN19" s="26">
        <v>759486.17079313018</v>
      </c>
      <c r="AO19" s="26">
        <v>793663.04847882083</v>
      </c>
      <c r="AP19" s="26">
        <v>414688.94283018389</v>
      </c>
      <c r="AQ19" s="26">
        <v>433349.94525754207</v>
      </c>
      <c r="AR19" s="26">
        <v>452850.69279413158</v>
      </c>
      <c r="AS19" s="26">
        <v>473228.97396986745</v>
      </c>
      <c r="AV19" s="26">
        <v>399437.9606707198</v>
      </c>
      <c r="AW19" s="26">
        <v>415814.9170582192</v>
      </c>
      <c r="AX19" s="26">
        <v>429536.80932114046</v>
      </c>
      <c r="AY19" s="26">
        <v>448865.9657405917</v>
      </c>
      <c r="AZ19" s="26">
        <v>479837.71737669263</v>
      </c>
      <c r="BA19" s="26">
        <v>508627.98041929415</v>
      </c>
      <c r="BB19" s="26">
        <v>534059.37944025896</v>
      </c>
      <c r="BC19" s="26">
        <v>558092.05151507049</v>
      </c>
      <c r="BD19" s="26">
        <v>291603.09691662434</v>
      </c>
      <c r="BE19" s="26">
        <v>304725.23627787235</v>
      </c>
      <c r="BF19" s="26">
        <v>318437.87191037659</v>
      </c>
      <c r="BG19" s="26">
        <v>332767.57614634337</v>
      </c>
      <c r="BH19" s="26">
        <v>347742.11707292881</v>
      </c>
      <c r="BI19" s="26">
        <v>363390.5123412105</v>
      </c>
      <c r="BJ19" s="26">
        <v>379743.08539656509</v>
      </c>
      <c r="BK19" s="26">
        <v>396831.52423941041</v>
      </c>
      <c r="BL19" s="26">
        <v>414688.94283018389</v>
      </c>
      <c r="BM19" s="26">
        <v>433349.94525754207</v>
      </c>
      <c r="BN19" s="26">
        <v>452850.69279413158</v>
      </c>
      <c r="BO19" s="26">
        <v>473228.97396986745</v>
      </c>
    </row>
    <row r="20" spans="1:68" x14ac:dyDescent="0.35">
      <c r="A20" s="17" t="str">
        <v>Media resource function - software</v>
      </c>
      <c r="B20" s="17"/>
      <c r="C20" s="17"/>
      <c r="D20" s="26">
        <v>2365871.041052673</v>
      </c>
      <c r="E20" s="26">
        <v>2462871.7537358324</v>
      </c>
      <c r="F20" s="26">
        <v>2544146.5216091149</v>
      </c>
      <c r="G20" s="26">
        <v>2658633.1150815249</v>
      </c>
      <c r="H20" s="26">
        <v>2842078.8000221499</v>
      </c>
      <c r="I20" s="26">
        <v>3012603.528023479</v>
      </c>
      <c r="J20" s="26">
        <v>3163233.7044246527</v>
      </c>
      <c r="K20" s="26">
        <v>3305579.2211237624</v>
      </c>
      <c r="L20" s="26">
        <v>1497819.3073122408</v>
      </c>
      <c r="M20" s="26">
        <v>1565221.1761412909</v>
      </c>
      <c r="N20" s="26">
        <v>1635656.1290676489</v>
      </c>
      <c r="O20" s="26">
        <v>1709260.6548756929</v>
      </c>
      <c r="P20" s="26">
        <v>1786177.3843450986</v>
      </c>
      <c r="Q20" s="26">
        <v>1866555.3666406278</v>
      </c>
      <c r="R20" s="26">
        <v>1950550.3581394565</v>
      </c>
      <c r="S20" s="26">
        <v>2038325.1242557317</v>
      </c>
      <c r="T20" s="26">
        <v>953991.91298083786</v>
      </c>
      <c r="U20" s="26">
        <v>996921.54906497546</v>
      </c>
      <c r="V20" s="26">
        <v>1041783.0187728994</v>
      </c>
      <c r="W20" s="26">
        <v>1088663.2546176799</v>
      </c>
      <c r="X20" s="81"/>
      <c r="Y20" s="81"/>
      <c r="Z20" s="26">
        <v>1843938.7724429327</v>
      </c>
      <c r="AA20" s="26">
        <v>1919540.2621130927</v>
      </c>
      <c r="AB20" s="26">
        <v>1982885.0907628245</v>
      </c>
      <c r="AC20" s="26">
        <v>2072114.9198471515</v>
      </c>
      <c r="AD20" s="26">
        <v>2215090.8493166054</v>
      </c>
      <c r="AE20" s="26">
        <v>2347996.3002756014</v>
      </c>
      <c r="AF20" s="26">
        <v>2465396.1152893812</v>
      </c>
      <c r="AG20" s="26">
        <v>2576338.9404774038</v>
      </c>
      <c r="AH20" s="26">
        <v>1107605.7631216447</v>
      </c>
      <c r="AI20" s="26">
        <v>1157448.0224621182</v>
      </c>
      <c r="AJ20" s="26">
        <v>1209533.1834729135</v>
      </c>
      <c r="AK20" s="26">
        <v>1263962.1767291944</v>
      </c>
      <c r="AL20" s="26">
        <v>1320840.4746820077</v>
      </c>
      <c r="AM20" s="26">
        <v>1380278.296042698</v>
      </c>
      <c r="AN20" s="26">
        <v>1442390.8193646197</v>
      </c>
      <c r="AO20" s="26">
        <v>1507298.4062360271</v>
      </c>
      <c r="AP20" s="26">
        <v>705455.00657794776</v>
      </c>
      <c r="AQ20" s="26">
        <v>737200.48187395534</v>
      </c>
      <c r="AR20" s="26">
        <v>770374.50355828332</v>
      </c>
      <c r="AS20" s="26">
        <v>805041.356218406</v>
      </c>
      <c r="AV20" s="26">
        <v>521932.26860974048</v>
      </c>
      <c r="AW20" s="26">
        <v>543331.49162273982</v>
      </c>
      <c r="AX20" s="26">
        <v>561261.4308462902</v>
      </c>
      <c r="AY20" s="26">
        <v>586518.19523437321</v>
      </c>
      <c r="AZ20" s="26">
        <v>626987.95070554502</v>
      </c>
      <c r="BA20" s="26">
        <v>664607.22774787759</v>
      </c>
      <c r="BB20" s="26">
        <v>697837.5891352715</v>
      </c>
      <c r="BC20" s="26">
        <v>729240.28064635873</v>
      </c>
      <c r="BD20" s="26">
        <v>390213.54419059615</v>
      </c>
      <c r="BE20" s="26">
        <v>407773.15367917274</v>
      </c>
      <c r="BF20" s="26">
        <v>426122.94559473544</v>
      </c>
      <c r="BG20" s="26">
        <v>445298.47814649856</v>
      </c>
      <c r="BH20" s="26">
        <v>465336.90966309083</v>
      </c>
      <c r="BI20" s="26">
        <v>486277.07059792988</v>
      </c>
      <c r="BJ20" s="26">
        <v>508159.53877483681</v>
      </c>
      <c r="BK20" s="26">
        <v>531026.71801970433</v>
      </c>
      <c r="BL20" s="26">
        <v>248536.90640289019</v>
      </c>
      <c r="BM20" s="26">
        <v>259721.06719102021</v>
      </c>
      <c r="BN20" s="26">
        <v>271408.51521461614</v>
      </c>
      <c r="BO20" s="26">
        <v>283621.89839927381</v>
      </c>
    </row>
    <row r="21" spans="1:68" x14ac:dyDescent="0.35">
      <c r="A21" s="17" t="str">
        <v>Access session border controller - hardware</v>
      </c>
      <c r="B21" s="17"/>
      <c r="C21" s="17"/>
      <c r="D21" s="26">
        <v>916506.61056000018</v>
      </c>
      <c r="E21" s="26">
        <v>954083.38159295975</v>
      </c>
      <c r="F21" s="26">
        <v>985568.13318552752</v>
      </c>
      <c r="G21" s="26">
        <v>1029918.6991788761</v>
      </c>
      <c r="H21" s="26">
        <v>1100983.0894222187</v>
      </c>
      <c r="I21" s="26">
        <v>1167042.0747875515</v>
      </c>
      <c r="J21" s="26">
        <v>1225394.1785269291</v>
      </c>
      <c r="K21" s="26">
        <v>1280536.9165606413</v>
      </c>
      <c r="L21" s="26">
        <v>446053.69260195666</v>
      </c>
      <c r="M21" s="26">
        <v>466126.10876904457</v>
      </c>
      <c r="N21" s="26">
        <v>487101.78366365144</v>
      </c>
      <c r="O21" s="26">
        <v>509021.36392851564</v>
      </c>
      <c r="P21" s="26">
        <v>531927.32530529867</v>
      </c>
      <c r="Q21" s="26">
        <v>555864.05494403711</v>
      </c>
      <c r="R21" s="26">
        <v>580877.93741651892</v>
      </c>
      <c r="S21" s="26">
        <v>607017.4446002621</v>
      </c>
      <c r="T21" s="26">
        <v>634333.22960727394</v>
      </c>
      <c r="U21" s="26">
        <v>662878.22493960115</v>
      </c>
      <c r="V21" s="26">
        <v>692707.74506188324</v>
      </c>
      <c r="W21" s="26">
        <v>723879.59358966805</v>
      </c>
      <c r="X21" s="81"/>
      <c r="Y21" s="81"/>
      <c r="Z21" s="26">
        <v>611004.40704000008</v>
      </c>
      <c r="AA21" s="26">
        <v>636055.58772863983</v>
      </c>
      <c r="AB21" s="26">
        <v>657045.42212368501</v>
      </c>
      <c r="AC21" s="26">
        <v>686612.46611925075</v>
      </c>
      <c r="AD21" s="26">
        <v>733988.72628147912</v>
      </c>
      <c r="AE21" s="26">
        <v>778028.04985836777</v>
      </c>
      <c r="AF21" s="26">
        <v>816929.45235128608</v>
      </c>
      <c r="AG21" s="26">
        <v>853691.27770709421</v>
      </c>
      <c r="AH21" s="26">
        <v>446053.69260195666</v>
      </c>
      <c r="AI21" s="26">
        <v>466126.10876904457</v>
      </c>
      <c r="AJ21" s="26">
        <v>487101.78366365144</v>
      </c>
      <c r="AK21" s="26">
        <v>509021.36392851564</v>
      </c>
      <c r="AL21" s="26">
        <v>531927.32530529867</v>
      </c>
      <c r="AM21" s="26">
        <v>555864.05494403711</v>
      </c>
      <c r="AN21" s="26">
        <v>580877.93741651892</v>
      </c>
      <c r="AO21" s="26">
        <v>607017.4446002621</v>
      </c>
      <c r="AP21" s="26">
        <v>634333.22960727394</v>
      </c>
      <c r="AQ21" s="26">
        <v>662878.22493960115</v>
      </c>
      <c r="AR21" s="26">
        <v>692707.74506188324</v>
      </c>
      <c r="AS21" s="26">
        <v>723879.59358966805</v>
      </c>
      <c r="AV21" s="26">
        <v>305502.20352000004</v>
      </c>
      <c r="AW21" s="26">
        <v>318027.79386431992</v>
      </c>
      <c r="AX21" s="26">
        <v>328522.71106184251</v>
      </c>
      <c r="AY21" s="26">
        <v>343306.23305962537</v>
      </c>
      <c r="AZ21" s="26">
        <v>366994.36314073956</v>
      </c>
      <c r="BA21" s="26">
        <v>389014.02492918388</v>
      </c>
      <c r="BB21" s="26">
        <v>408464.72617564304</v>
      </c>
      <c r="BC21" s="26">
        <v>426845.63885354711</v>
      </c>
      <c r="BD21" s="26">
        <v>0</v>
      </c>
      <c r="BE21" s="26">
        <v>0</v>
      </c>
      <c r="BF21" s="26">
        <v>0</v>
      </c>
      <c r="BG21" s="26">
        <v>0</v>
      </c>
      <c r="BH21" s="26">
        <v>0</v>
      </c>
      <c r="BI21" s="26">
        <v>0</v>
      </c>
      <c r="BJ21" s="26">
        <v>0</v>
      </c>
      <c r="BK21" s="26">
        <v>0</v>
      </c>
      <c r="BL21" s="26">
        <v>0</v>
      </c>
      <c r="BM21" s="26">
        <v>0</v>
      </c>
      <c r="BN21" s="26">
        <v>0</v>
      </c>
      <c r="BO21" s="26">
        <v>0</v>
      </c>
    </row>
    <row r="22" spans="1:68" x14ac:dyDescent="0.35">
      <c r="A22" s="17" t="str">
        <v>Access session border controller - software</v>
      </c>
      <c r="B22" s="17"/>
      <c r="C22" s="17"/>
      <c r="D22" s="26">
        <v>2521323.4176000003</v>
      </c>
      <c r="E22" s="26">
        <v>2624697.6777215996</v>
      </c>
      <c r="F22" s="26">
        <v>2711312.7010864122</v>
      </c>
      <c r="G22" s="26">
        <v>2833321.7726353002</v>
      </c>
      <c r="H22" s="26">
        <v>3028820.9749471359</v>
      </c>
      <c r="I22" s="26">
        <v>3210550.2334439652</v>
      </c>
      <c r="J22" s="26">
        <v>3371077.7451161621</v>
      </c>
      <c r="K22" s="26">
        <v>3522776.2436463907</v>
      </c>
      <c r="L22" s="26">
        <v>1472520.4698441911</v>
      </c>
      <c r="M22" s="26">
        <v>1538783.8909871792</v>
      </c>
      <c r="N22" s="26">
        <v>1608029.1660816018</v>
      </c>
      <c r="O22" s="26">
        <v>1680390.4785552733</v>
      </c>
      <c r="P22" s="26">
        <v>1756008.0500902606</v>
      </c>
      <c r="Q22" s="26">
        <v>1835028.4123443221</v>
      </c>
      <c r="R22" s="26">
        <v>1917604.6908998168</v>
      </c>
      <c r="S22" s="26">
        <v>2003896.9019903082</v>
      </c>
      <c r="T22" s="26">
        <v>1047036.131289936</v>
      </c>
      <c r="U22" s="26">
        <v>1094152.7571979831</v>
      </c>
      <c r="V22" s="26">
        <v>1143389.6312718925</v>
      </c>
      <c r="W22" s="26">
        <v>1194842.1646791275</v>
      </c>
      <c r="X22" s="81"/>
      <c r="Y22" s="81"/>
      <c r="Z22" s="26">
        <v>2017058.7340800001</v>
      </c>
      <c r="AA22" s="26">
        <v>2099758.1421772796</v>
      </c>
      <c r="AB22" s="26">
        <v>2169050.1608691299</v>
      </c>
      <c r="AC22" s="26">
        <v>2266657.4181082402</v>
      </c>
      <c r="AD22" s="26">
        <v>2423056.7799577089</v>
      </c>
      <c r="AE22" s="26">
        <v>2568440.186755172</v>
      </c>
      <c r="AF22" s="26">
        <v>2696862.1960929297</v>
      </c>
      <c r="AG22" s="26">
        <v>2818220.9949171124</v>
      </c>
      <c r="AH22" s="26">
        <v>1472520.4698441911</v>
      </c>
      <c r="AI22" s="26">
        <v>1538783.8909871792</v>
      </c>
      <c r="AJ22" s="26">
        <v>1608029.1660816018</v>
      </c>
      <c r="AK22" s="26">
        <v>1680390.4785552733</v>
      </c>
      <c r="AL22" s="26">
        <v>1756008.0500902606</v>
      </c>
      <c r="AM22" s="26">
        <v>1835028.4123443221</v>
      </c>
      <c r="AN22" s="26">
        <v>1917604.6908998168</v>
      </c>
      <c r="AO22" s="26">
        <v>2003896.9019903082</v>
      </c>
      <c r="AP22" s="26">
        <v>1047036.131289936</v>
      </c>
      <c r="AQ22" s="26">
        <v>1094152.7571979831</v>
      </c>
      <c r="AR22" s="26">
        <v>1143389.6312718925</v>
      </c>
      <c r="AS22" s="26">
        <v>1194842.1646791275</v>
      </c>
      <c r="AV22" s="26">
        <v>504264.68352000002</v>
      </c>
      <c r="AW22" s="26">
        <v>524939.53554431989</v>
      </c>
      <c r="AX22" s="26">
        <v>542262.54021728248</v>
      </c>
      <c r="AY22" s="26">
        <v>566664.35452706006</v>
      </c>
      <c r="AZ22" s="26">
        <v>605764.19498942723</v>
      </c>
      <c r="BA22" s="26">
        <v>642110.04668879299</v>
      </c>
      <c r="BB22" s="26">
        <v>674215.54902323242</v>
      </c>
      <c r="BC22" s="26">
        <v>704555.2487292781</v>
      </c>
      <c r="BD22" s="26">
        <v>0</v>
      </c>
      <c r="BE22" s="26">
        <v>0</v>
      </c>
      <c r="BF22" s="26">
        <v>0</v>
      </c>
      <c r="BG22" s="26">
        <v>0</v>
      </c>
      <c r="BH22" s="26">
        <v>0</v>
      </c>
      <c r="BI22" s="26">
        <v>0</v>
      </c>
      <c r="BJ22" s="26">
        <v>0</v>
      </c>
      <c r="BK22" s="26">
        <v>0</v>
      </c>
      <c r="BL22" s="26">
        <v>0</v>
      </c>
      <c r="BM22" s="26">
        <v>0</v>
      </c>
      <c r="BN22" s="26">
        <v>0</v>
      </c>
      <c r="BO22" s="26">
        <v>0</v>
      </c>
    </row>
    <row r="23" spans="1:68" x14ac:dyDescent="0.35">
      <c r="A23" s="17" t="str">
        <v>Internet exchange point session border controller - hardware</v>
      </c>
      <c r="B23" s="17"/>
      <c r="C23" s="17"/>
      <c r="D23" s="26">
        <v>611004.40704000008</v>
      </c>
      <c r="E23" s="26">
        <v>636055.58772863983</v>
      </c>
      <c r="F23" s="26">
        <v>657045.42212368501</v>
      </c>
      <c r="G23" s="26">
        <v>686612.46611925075</v>
      </c>
      <c r="H23" s="26">
        <v>733988.72628147912</v>
      </c>
      <c r="I23" s="26">
        <v>778028.04985836777</v>
      </c>
      <c r="J23" s="26">
        <v>816929.45235128608</v>
      </c>
      <c r="K23" s="26">
        <v>853691.27770709421</v>
      </c>
      <c r="L23" s="26">
        <v>446053.69260195666</v>
      </c>
      <c r="M23" s="26">
        <v>466126.10876904457</v>
      </c>
      <c r="N23" s="26">
        <v>487101.78366365144</v>
      </c>
      <c r="O23" s="26">
        <v>509021.36392851564</v>
      </c>
      <c r="P23" s="26">
        <v>531927.32530529867</v>
      </c>
      <c r="Q23" s="26">
        <v>555864.05494403711</v>
      </c>
      <c r="R23" s="26">
        <v>580877.93741651892</v>
      </c>
      <c r="S23" s="26">
        <v>607017.4446002621</v>
      </c>
      <c r="T23" s="26">
        <v>634333.22960727394</v>
      </c>
      <c r="U23" s="26">
        <v>662878.22493960115</v>
      </c>
      <c r="V23" s="26">
        <v>692707.74506188324</v>
      </c>
      <c r="W23" s="26">
        <v>723879.59358966805</v>
      </c>
      <c r="X23" s="81"/>
      <c r="Y23" s="81"/>
      <c r="Z23" s="179">
        <v>611004.40704000008</v>
      </c>
      <c r="AA23" s="179">
        <v>636055.58772863983</v>
      </c>
      <c r="AB23" s="179">
        <v>657045.42212368501</v>
      </c>
      <c r="AC23" s="179">
        <v>686612.46611925075</v>
      </c>
      <c r="AD23" s="179">
        <v>733988.72628147912</v>
      </c>
      <c r="AE23" s="179">
        <v>778028.04985836777</v>
      </c>
      <c r="AF23" s="179">
        <v>816929.45235128608</v>
      </c>
      <c r="AG23" s="179">
        <v>853691.27770709421</v>
      </c>
      <c r="AH23" s="179">
        <v>446053.69260195666</v>
      </c>
      <c r="AI23" s="179">
        <v>466126.10876904457</v>
      </c>
      <c r="AJ23" s="179">
        <v>487101.78366365144</v>
      </c>
      <c r="AK23" s="179">
        <v>509021.36392851564</v>
      </c>
      <c r="AL23" s="179">
        <v>531927.32530529867</v>
      </c>
      <c r="AM23" s="179">
        <v>555864.05494403711</v>
      </c>
      <c r="AN23" s="179">
        <v>580877.93741651892</v>
      </c>
      <c r="AO23" s="179">
        <v>607017.4446002621</v>
      </c>
      <c r="AP23" s="179">
        <v>634333.22960727394</v>
      </c>
      <c r="AQ23" s="179">
        <v>662878.22493960115</v>
      </c>
      <c r="AR23" s="179">
        <v>692707.74506188324</v>
      </c>
      <c r="AS23" s="179">
        <v>723879.59358966805</v>
      </c>
      <c r="AV23" s="26">
        <v>0</v>
      </c>
      <c r="AW23" s="26">
        <v>0</v>
      </c>
      <c r="AX23" s="26">
        <v>0</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6">
        <v>0</v>
      </c>
      <c r="BO23" s="26">
        <v>0</v>
      </c>
    </row>
    <row r="24" spans="1:68" x14ac:dyDescent="0.35">
      <c r="A24" s="17" t="str">
        <v>Internet exchange point session border controller - software</v>
      </c>
      <c r="B24" s="17"/>
      <c r="C24" s="17"/>
      <c r="D24" s="26">
        <v>2017058.7340800001</v>
      </c>
      <c r="E24" s="26">
        <v>2099758.1421772796</v>
      </c>
      <c r="F24" s="26">
        <v>2169050.1608691299</v>
      </c>
      <c r="G24" s="26">
        <v>2266657.4181082402</v>
      </c>
      <c r="H24" s="26">
        <v>2423056.7799577089</v>
      </c>
      <c r="I24" s="26">
        <v>2568440.186755172</v>
      </c>
      <c r="J24" s="26">
        <v>2696862.1960929297</v>
      </c>
      <c r="K24" s="26">
        <v>2818220.9949171124</v>
      </c>
      <c r="L24" s="26">
        <v>1472520.4698441911</v>
      </c>
      <c r="M24" s="26">
        <v>1538783.8909871792</v>
      </c>
      <c r="N24" s="26">
        <v>1608029.1660816018</v>
      </c>
      <c r="O24" s="26">
        <v>1680390.4785552733</v>
      </c>
      <c r="P24" s="26">
        <v>1756008.0500902606</v>
      </c>
      <c r="Q24" s="26">
        <v>1835028.4123443221</v>
      </c>
      <c r="R24" s="26">
        <v>1917604.6908998168</v>
      </c>
      <c r="S24" s="26">
        <v>2003896.9019903082</v>
      </c>
      <c r="T24" s="26">
        <v>1047036.131289936</v>
      </c>
      <c r="U24" s="26">
        <v>1094152.7571979831</v>
      </c>
      <c r="V24" s="26">
        <v>1143389.6312718925</v>
      </c>
      <c r="W24" s="26">
        <v>1194842.1646791275</v>
      </c>
      <c r="X24" s="81"/>
      <c r="Y24" s="81"/>
      <c r="Z24" s="26">
        <v>1512794.0505600001</v>
      </c>
      <c r="AA24" s="26">
        <v>1574818.6066329596</v>
      </c>
      <c r="AB24" s="26">
        <v>1626787.6206518475</v>
      </c>
      <c r="AC24" s="26">
        <v>1699993.0635811803</v>
      </c>
      <c r="AD24" s="26">
        <v>1817292.5849682817</v>
      </c>
      <c r="AE24" s="26">
        <v>1926330.140066379</v>
      </c>
      <c r="AF24" s="26">
        <v>2022646.6470696973</v>
      </c>
      <c r="AG24" s="26">
        <v>2113665.7461878341</v>
      </c>
      <c r="AH24" s="26">
        <v>1472520.4698441911</v>
      </c>
      <c r="AI24" s="26">
        <v>1538783.8909871792</v>
      </c>
      <c r="AJ24" s="26">
        <v>1608029.1660816018</v>
      </c>
      <c r="AK24" s="26">
        <v>1680390.4785552733</v>
      </c>
      <c r="AL24" s="26">
        <v>1756008.0500902606</v>
      </c>
      <c r="AM24" s="26">
        <v>1835028.4123443221</v>
      </c>
      <c r="AN24" s="26">
        <v>1917604.6908998168</v>
      </c>
      <c r="AO24" s="26">
        <v>2003896.9019903082</v>
      </c>
      <c r="AP24" s="26">
        <v>1047036.131289936</v>
      </c>
      <c r="AQ24" s="26">
        <v>1094152.7571979831</v>
      </c>
      <c r="AR24" s="26">
        <v>1143389.6312718925</v>
      </c>
      <c r="AS24" s="26">
        <v>1194842.1646791275</v>
      </c>
      <c r="AV24" s="26">
        <v>504264.68352000002</v>
      </c>
      <c r="AW24" s="26">
        <v>524939.53554431989</v>
      </c>
      <c r="AX24" s="26">
        <v>542262.54021728248</v>
      </c>
      <c r="AY24" s="26">
        <v>566664.35452706006</v>
      </c>
      <c r="AZ24" s="26">
        <v>605764.19498942723</v>
      </c>
      <c r="BA24" s="26">
        <v>642110.04668879299</v>
      </c>
      <c r="BB24" s="26">
        <v>674215.54902323242</v>
      </c>
      <c r="BC24" s="26">
        <v>704555.2487292781</v>
      </c>
      <c r="BD24" s="26">
        <v>0</v>
      </c>
      <c r="BE24" s="26">
        <v>0</v>
      </c>
      <c r="BF24" s="26">
        <v>0</v>
      </c>
      <c r="BG24" s="26">
        <v>0</v>
      </c>
      <c r="BH24" s="26">
        <v>0</v>
      </c>
      <c r="BI24" s="26">
        <v>0</v>
      </c>
      <c r="BJ24" s="26">
        <v>0</v>
      </c>
      <c r="BK24" s="26">
        <v>0</v>
      </c>
      <c r="BL24" s="26">
        <v>0</v>
      </c>
      <c r="BM24" s="26">
        <v>0</v>
      </c>
      <c r="BN24" s="26">
        <v>0</v>
      </c>
      <c r="BO24" s="26">
        <v>0</v>
      </c>
    </row>
    <row r="25" spans="1:68" x14ac:dyDescent="0.35">
      <c r="C25" s="12" t="s">
        <v>345</v>
      </c>
    </row>
    <row r="26" spans="1:68" x14ac:dyDescent="0.35">
      <c r="A26" s="17" t="s">
        <v>169</v>
      </c>
      <c r="B26" s="17"/>
      <c r="C26" s="17"/>
      <c r="D26" s="16">
        <f>SUM(D9:D24)</f>
        <v>17283311.637895606</v>
      </c>
      <c r="E26" s="16">
        <f t="shared" ref="E26:W26" si="0">SUM(E9:E24)</f>
        <v>17991927.415049322</v>
      </c>
      <c r="F26" s="16">
        <f t="shared" si="0"/>
        <v>18585661.01974595</v>
      </c>
      <c r="G26" s="16">
        <f t="shared" si="0"/>
        <v>19422015.765634511</v>
      </c>
      <c r="H26" s="16">
        <f t="shared" si="0"/>
        <v>20762134.853463296</v>
      </c>
      <c r="I26" s="16">
        <f t="shared" si="0"/>
        <v>22007862.944671098</v>
      </c>
      <c r="J26" s="16">
        <f t="shared" si="0"/>
        <v>23108256.091904648</v>
      </c>
      <c r="K26" s="16">
        <f t="shared" si="0"/>
        <v>24148127.61604036</v>
      </c>
      <c r="L26" s="16">
        <f t="shared" si="0"/>
        <v>14004742.427940279</v>
      </c>
      <c r="M26" s="16">
        <f t="shared" si="0"/>
        <v>14634955.837197591</v>
      </c>
      <c r="N26" s="16">
        <f t="shared" si="0"/>
        <v>15293528.849871475</v>
      </c>
      <c r="O26" s="16">
        <f t="shared" si="0"/>
        <v>15981737.648115691</v>
      </c>
      <c r="P26" s="16">
        <f t="shared" si="0"/>
        <v>16700915.842280893</v>
      </c>
      <c r="Q26" s="16">
        <f t="shared" si="0"/>
        <v>17452457.05518353</v>
      </c>
      <c r="R26" s="16">
        <f t="shared" si="0"/>
        <v>18237817.622666791</v>
      </c>
      <c r="S26" s="16">
        <f t="shared" si="0"/>
        <v>19058519.415686794</v>
      </c>
      <c r="T26" s="16">
        <f t="shared" si="0"/>
        <v>14311784.702304527</v>
      </c>
      <c r="U26" s="16">
        <f t="shared" si="0"/>
        <v>14955815.013908228</v>
      </c>
      <c r="V26" s="16">
        <f t="shared" si="0"/>
        <v>15628826.689534102</v>
      </c>
      <c r="W26" s="16">
        <f t="shared" si="0"/>
        <v>16332123.89056313</v>
      </c>
      <c r="X26" s="15" t="s">
        <v>388</v>
      </c>
      <c r="Z26" s="16">
        <f t="shared" ref="Z26:AS26" si="1">SUM(Z9:Z24)</f>
        <v>14056908.695830651</v>
      </c>
      <c r="AA26" s="16">
        <f>SUM(AA9:AA24)</f>
        <v>14633241.952359704</v>
      </c>
      <c r="AB26" s="16">
        <f t="shared" si="1"/>
        <v>15116138.936787577</v>
      </c>
      <c r="AC26" s="16">
        <f t="shared" si="1"/>
        <v>15796365.188943014</v>
      </c>
      <c r="AD26" s="16">
        <f t="shared" si="1"/>
        <v>16886314.386980079</v>
      </c>
      <c r="AE26" s="16">
        <f t="shared" si="1"/>
        <v>17899493.250198886</v>
      </c>
      <c r="AF26" s="16">
        <f t="shared" si="1"/>
        <v>18794467.91270883</v>
      </c>
      <c r="AG26" s="16">
        <f t="shared" si="1"/>
        <v>19640218.968780726</v>
      </c>
      <c r="AH26" s="16">
        <f t="shared" si="1"/>
        <v>12580215.939020826</v>
      </c>
      <c r="AI26" s="16">
        <f t="shared" si="1"/>
        <v>13146325.656276762</v>
      </c>
      <c r="AJ26" s="16">
        <f t="shared" si="1"/>
        <v>13737910.310809212</v>
      </c>
      <c r="AK26" s="16">
        <f t="shared" si="1"/>
        <v>14356116.274795623</v>
      </c>
      <c r="AL26" s="16">
        <f t="shared" si="1"/>
        <v>15002141.507161422</v>
      </c>
      <c r="AM26" s="16">
        <f t="shared" si="1"/>
        <v>15677237.874983683</v>
      </c>
      <c r="AN26" s="16">
        <f t="shared" si="1"/>
        <v>16382713.579357954</v>
      </c>
      <c r="AO26" s="16">
        <f t="shared" si="1"/>
        <v>17119935.690429062</v>
      </c>
      <c r="AP26" s="16">
        <f t="shared" si="1"/>
        <v>13170952.382304091</v>
      </c>
      <c r="AQ26" s="16">
        <f t="shared" si="1"/>
        <v>13763645.239507774</v>
      </c>
      <c r="AR26" s="16">
        <f t="shared" si="1"/>
        <v>14383009.275285622</v>
      </c>
      <c r="AS26" s="16">
        <f t="shared" si="1"/>
        <v>15030244.692673471</v>
      </c>
      <c r="AT26" s="15" t="s">
        <v>389</v>
      </c>
      <c r="AV26" s="16">
        <f>SUM(AV9:AV24)</f>
        <v>3226402.942064953</v>
      </c>
      <c r="AW26" s="16">
        <f t="shared" ref="AW26:BO26" si="2">SUM(AW9:AW24)</f>
        <v>3358685.4626896158</v>
      </c>
      <c r="AX26" s="16">
        <f t="shared" si="2"/>
        <v>3469522.0829583723</v>
      </c>
      <c r="AY26" s="16">
        <f t="shared" si="2"/>
        <v>3625650.576691499</v>
      </c>
      <c r="AZ26" s="16">
        <f t="shared" si="2"/>
        <v>3875820.466483213</v>
      </c>
      <c r="BA26" s="16">
        <f t="shared" si="2"/>
        <v>4108369.6944722058</v>
      </c>
      <c r="BB26" s="16">
        <f t="shared" si="2"/>
        <v>4313788.1791958157</v>
      </c>
      <c r="BC26" s="16">
        <f t="shared" si="2"/>
        <v>4507908.6472596284</v>
      </c>
      <c r="BD26" s="16">
        <f t="shared" si="2"/>
        <v>1424526.4889194525</v>
      </c>
      <c r="BE26" s="16">
        <f t="shared" si="2"/>
        <v>1488630.1809208274</v>
      </c>
      <c r="BF26" s="16">
        <f t="shared" si="2"/>
        <v>1555618.5390622644</v>
      </c>
      <c r="BG26" s="16">
        <f t="shared" si="2"/>
        <v>1625621.3733200657</v>
      </c>
      <c r="BH26" s="16">
        <f t="shared" si="2"/>
        <v>1698774.3351194686</v>
      </c>
      <c r="BI26" s="16">
        <f t="shared" si="2"/>
        <v>1775219.1801998443</v>
      </c>
      <c r="BJ26" s="16">
        <f t="shared" si="2"/>
        <v>1855104.0433088373</v>
      </c>
      <c r="BK26" s="16">
        <f t="shared" si="2"/>
        <v>1938583.725257735</v>
      </c>
      <c r="BL26" s="16">
        <f t="shared" si="2"/>
        <v>1140832.3200004376</v>
      </c>
      <c r="BM26" s="16">
        <f t="shared" si="2"/>
        <v>1192169.7744004568</v>
      </c>
      <c r="BN26" s="16">
        <f t="shared" si="2"/>
        <v>1245817.4142484777</v>
      </c>
      <c r="BO26" s="16">
        <f t="shared" si="2"/>
        <v>1301879.1978896593</v>
      </c>
      <c r="BP26" s="15" t="s">
        <v>390</v>
      </c>
    </row>
    <row r="27" spans="1:68" x14ac:dyDescent="0.35">
      <c r="A27" s="17" t="s">
        <v>399</v>
      </c>
      <c r="B27" s="17"/>
      <c r="C27" s="16">
        <f>SUM(_xlfn.ANCHORARRAY(D27))</f>
        <v>90095110.136757478</v>
      </c>
      <c r="D27" s="16" cm="1">
        <f t="array" ref="D27:W27">core_costs_opex/wacc_index</f>
        <v>14333343.762322403</v>
      </c>
      <c r="E27" s="16">
        <v>12442973.284769928</v>
      </c>
      <c r="F27" s="16">
        <v>10668929.215265693</v>
      </c>
      <c r="G27" s="16">
        <v>9487781.7756008692</v>
      </c>
      <c r="H27" s="16">
        <v>8485789.5861032996</v>
      </c>
      <c r="I27" s="16">
        <v>7422517.828081225</v>
      </c>
      <c r="J27" s="16">
        <v>6431224.554733105</v>
      </c>
      <c r="K27" s="16">
        <v>5545785.7770228721</v>
      </c>
      <c r="L27" s="16">
        <v>2654042.5327448146</v>
      </c>
      <c r="M27" s="16">
        <v>2288638.9993764996</v>
      </c>
      <c r="N27" s="16">
        <v>1973543.5302350086</v>
      </c>
      <c r="O27" s="16">
        <v>1701829.8066202458</v>
      </c>
      <c r="P27" s="16">
        <v>1467525.1122311056</v>
      </c>
      <c r="Q27" s="16">
        <v>1265479.0429989747</v>
      </c>
      <c r="R27" s="16">
        <v>1091250.2927019126</v>
      </c>
      <c r="S27" s="16">
        <v>941009.02572036872</v>
      </c>
      <c r="T27" s="16">
        <v>583111.42374995502</v>
      </c>
      <c r="U27" s="16">
        <v>502829.750808827</v>
      </c>
      <c r="V27" s="16">
        <v>433601.10606731474</v>
      </c>
      <c r="W27" s="16">
        <v>373903.72960306186</v>
      </c>
      <c r="X27" s="15" t="s">
        <v>401</v>
      </c>
      <c r="Y27" s="16">
        <f>SUM(_xlfn.ANCHORARRAY(Z27))</f>
        <v>74615970.375014618</v>
      </c>
      <c r="Z27" s="16" cm="1">
        <f t="array" ref="Z27:AS27">core_costs_opex_noincoming/wacc_index</f>
        <v>11657633.02740817</v>
      </c>
      <c r="AA27" s="16">
        <v>10120151.91493519</v>
      </c>
      <c r="AB27" s="16">
        <v>8677281.7040710635</v>
      </c>
      <c r="AC27" s="16">
        <v>7716627.7470320668</v>
      </c>
      <c r="AD27" s="16">
        <v>6901684.8115115343</v>
      </c>
      <c r="AE27" s="16">
        <v>6036901.8153755283</v>
      </c>
      <c r="AF27" s="16">
        <v>5230660.5506116282</v>
      </c>
      <c r="AG27" s="16">
        <v>4510513.1439809324</v>
      </c>
      <c r="AH27" s="16">
        <v>2384080.1317890468</v>
      </c>
      <c r="AI27" s="16">
        <v>2055844.5088700845</v>
      </c>
      <c r="AJ27" s="16">
        <v>1772799.7428843365</v>
      </c>
      <c r="AK27" s="16">
        <v>1528724.0425094694</v>
      </c>
      <c r="AL27" s="16">
        <v>1318252.2208313337</v>
      </c>
      <c r="AM27" s="16">
        <v>1136757.75967655</v>
      </c>
      <c r="AN27" s="16">
        <v>980251.11110371118</v>
      </c>
      <c r="AO27" s="16">
        <v>845292.00055205217</v>
      </c>
      <c r="AP27" s="16">
        <v>536629.98399853799</v>
      </c>
      <c r="AQ27" s="16">
        <v>462747.78737011593</v>
      </c>
      <c r="AR27" s="16">
        <v>399037.55120124144</v>
      </c>
      <c r="AS27" s="16">
        <v>344098.81930202921</v>
      </c>
      <c r="AU27" s="16">
        <f>SUM(_xlfn.ANCHORARRAY(AV27))</f>
        <v>15479139.761742854</v>
      </c>
      <c r="AV27" s="16" cm="1">
        <f t="array" ref="AV27:BO27">core_costs_opex_incoming_only/wacc_index</f>
        <v>2675710.7349142316</v>
      </c>
      <c r="AW27" s="16">
        <v>2322821.3698347365</v>
      </c>
      <c r="AX27" s="16">
        <v>1991647.5111946296</v>
      </c>
      <c r="AY27" s="16">
        <v>1771154.028568804</v>
      </c>
      <c r="AZ27" s="16">
        <v>1584104.774591764</v>
      </c>
      <c r="BA27" s="16">
        <v>1385616.012705694</v>
      </c>
      <c r="BB27" s="16">
        <v>1200564.0041214763</v>
      </c>
      <c r="BC27" s="16">
        <v>1035272.6330419389</v>
      </c>
      <c r="BD27" s="16">
        <v>269962.40095576743</v>
      </c>
      <c r="BE27" s="16">
        <v>232794.4905064152</v>
      </c>
      <c r="BF27" s="16">
        <v>200743.78735067206</v>
      </c>
      <c r="BG27" s="16">
        <v>173105.76411077619</v>
      </c>
      <c r="BH27" s="16">
        <v>149272.89139977156</v>
      </c>
      <c r="BI27" s="16">
        <v>128721.28332242437</v>
      </c>
      <c r="BJ27" s="16">
        <v>110999.18159820148</v>
      </c>
      <c r="BK27" s="16">
        <v>95717.025168316643</v>
      </c>
      <c r="BL27" s="16">
        <v>46481.439751417005</v>
      </c>
      <c r="BM27" s="16">
        <v>40081.963438711173</v>
      </c>
      <c r="BN27" s="16">
        <v>34563.554866073253</v>
      </c>
      <c r="BO27" s="16">
        <v>29804.910301032636</v>
      </c>
    </row>
    <row r="28" spans="1:68" x14ac:dyDescent="0.35">
      <c r="C28" s="15" t="s">
        <v>403</v>
      </c>
      <c r="D28" s="23"/>
      <c r="E28" s="23"/>
      <c r="F28" s="23"/>
      <c r="G28" s="23"/>
      <c r="H28" s="23"/>
      <c r="I28" s="23"/>
      <c r="J28" s="23"/>
      <c r="K28" s="23"/>
      <c r="L28" s="23"/>
      <c r="M28" s="23"/>
      <c r="N28" s="23"/>
      <c r="O28" s="23"/>
      <c r="P28" s="23"/>
      <c r="Q28" s="23"/>
      <c r="R28" s="23"/>
      <c r="S28" s="23"/>
      <c r="T28" s="23"/>
      <c r="U28" s="23"/>
      <c r="V28" s="23"/>
      <c r="W28" s="23"/>
      <c r="Z28" s="23"/>
      <c r="AA28" s="23"/>
      <c r="AB28" s="23"/>
      <c r="AC28" s="23"/>
      <c r="AD28" s="23"/>
      <c r="AE28" s="23"/>
      <c r="AF28" s="23"/>
      <c r="AG28" s="23"/>
      <c r="AH28" s="23"/>
      <c r="AI28" s="23"/>
      <c r="AJ28" s="23"/>
      <c r="AK28" s="23"/>
      <c r="AL28" s="23"/>
      <c r="AM28" s="23"/>
      <c r="AN28" s="23"/>
      <c r="AO28" s="23"/>
      <c r="AP28" s="23"/>
      <c r="AQ28" s="23"/>
      <c r="AR28" s="23"/>
      <c r="AS28" s="23"/>
      <c r="AU28" s="15" t="s">
        <v>414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F8F06-2CBE-4DAB-92A0-4616325DCAD2}">
  <dimension ref="A1:Y41"/>
  <sheetViews>
    <sheetView zoomScale="90" zoomScaleNormal="90" workbookViewId="0">
      <pane xSplit="1" topLeftCell="B1" activePane="topRight" state="frozen"/>
      <selection activeCell="A20" sqref="A20"/>
      <selection pane="topRight" activeCell="E31" sqref="E31"/>
    </sheetView>
  </sheetViews>
  <sheetFormatPr defaultColWidth="15.54296875" defaultRowHeight="14.5" x14ac:dyDescent="0.35"/>
  <cols>
    <col min="1" max="1" width="45.54296875" style="12" customWidth="1"/>
    <col min="2" max="2" width="25.54296875" style="12" customWidth="1"/>
    <col min="3" max="3" width="35.54296875" style="12" customWidth="1"/>
    <col min="4" max="4" width="33.54296875" style="12" customWidth="1"/>
    <col min="5" max="12" width="17.453125" style="12" bestFit="1" customWidth="1"/>
    <col min="13" max="13" width="20.453125" style="12" customWidth="1"/>
    <col min="14" max="15" width="17.453125" style="12" bestFit="1" customWidth="1"/>
    <col min="16" max="24" width="18.453125" style="12" bestFit="1" customWidth="1"/>
    <col min="25" max="16384" width="15.54296875" style="12"/>
  </cols>
  <sheetData>
    <row r="1" spans="1:25" ht="18.5" x14ac:dyDescent="0.45">
      <c r="A1" s="50" t="s">
        <v>396</v>
      </c>
      <c r="B1" s="50"/>
      <c r="C1" s="50"/>
      <c r="D1" s="50"/>
    </row>
    <row r="3" spans="1:25" s="49" customFormat="1" x14ac:dyDescent="0.35">
      <c r="A3" s="48" t="s">
        <v>327</v>
      </c>
    </row>
    <row r="5" spans="1:25" x14ac:dyDescent="0.35">
      <c r="D5" s="52" t="s">
        <v>345</v>
      </c>
      <c r="E5" s="52" cm="1">
        <f t="array" ref="E5:X5">years</f>
        <v>2018</v>
      </c>
      <c r="F5" s="52">
        <v>2019</v>
      </c>
      <c r="G5" s="52">
        <v>2020</v>
      </c>
      <c r="H5" s="52">
        <v>2021</v>
      </c>
      <c r="I5" s="52">
        <v>2022</v>
      </c>
      <c r="J5" s="52">
        <v>2023</v>
      </c>
      <c r="K5" s="52">
        <v>2024</v>
      </c>
      <c r="L5" s="52">
        <v>2025</v>
      </c>
      <c r="M5" s="52">
        <v>2026</v>
      </c>
      <c r="N5" s="52">
        <v>2027</v>
      </c>
      <c r="O5" s="52">
        <v>2028</v>
      </c>
      <c r="P5" s="52">
        <v>2029</v>
      </c>
      <c r="Q5" s="52">
        <v>2030</v>
      </c>
      <c r="R5" s="52">
        <v>2031</v>
      </c>
      <c r="S5" s="52">
        <v>2032</v>
      </c>
      <c r="T5" s="52">
        <v>2033</v>
      </c>
      <c r="U5" s="52">
        <v>2034</v>
      </c>
      <c r="V5" s="52">
        <v>2035</v>
      </c>
      <c r="W5" s="52">
        <v>2036</v>
      </c>
      <c r="X5" s="52">
        <v>2037</v>
      </c>
    </row>
    <row r="6" spans="1:25" x14ac:dyDescent="0.35">
      <c r="A6" s="17"/>
      <c r="B6" s="17"/>
      <c r="C6" s="17" t="s">
        <v>404</v>
      </c>
      <c r="D6" s="26">
        <f>core_costs_incoming_only_discounted_pv</f>
        <v>35027805.156689696</v>
      </c>
      <c r="E6" s="218"/>
      <c r="F6" s="218"/>
      <c r="G6" s="218"/>
      <c r="H6" s="218"/>
      <c r="I6" s="218"/>
      <c r="J6" s="218"/>
      <c r="K6" s="218"/>
      <c r="L6" s="218"/>
      <c r="M6" s="218"/>
      <c r="N6" s="218"/>
      <c r="O6" s="218"/>
      <c r="P6" s="218"/>
      <c r="Q6" s="218"/>
      <c r="R6" s="218"/>
      <c r="S6" s="218"/>
      <c r="T6" s="218"/>
      <c r="U6" s="218"/>
      <c r="V6" s="218"/>
      <c r="W6" s="218"/>
      <c r="X6" s="218"/>
    </row>
    <row r="7" spans="1:25" x14ac:dyDescent="0.35">
      <c r="A7" s="17"/>
      <c r="B7" s="17"/>
      <c r="C7" s="17" t="s">
        <v>420</v>
      </c>
      <c r="D7" s="221">
        <f>D6/D14</f>
        <v>3.3880808402242985E-3</v>
      </c>
      <c r="E7" s="222" cm="1">
        <f t="array" ref="E7:X7">$D$7*capex_price_index</f>
        <v>3.3880808402242985E-3</v>
      </c>
      <c r="F7" s="219">
        <v>3.4768037285258522E-3</v>
      </c>
      <c r="G7" s="219">
        <v>3.9968857784828064E-3</v>
      </c>
      <c r="H7" s="219">
        <v>3.6849810183864585E-3</v>
      </c>
      <c r="I7" s="219">
        <v>3.5902643114423755E-3</v>
      </c>
      <c r="J7" s="219">
        <v>4.1221505688992461E-3</v>
      </c>
      <c r="K7" s="219">
        <v>3.965606070252716E-3</v>
      </c>
      <c r="L7" s="219">
        <v>4.0513466909146588E-3</v>
      </c>
      <c r="M7" s="219">
        <v>4.1562787172568106E-3</v>
      </c>
      <c r="N7" s="219">
        <v>4.2639285386908915E-3</v>
      </c>
      <c r="O7" s="219">
        <v>4.3743665475501018E-3</v>
      </c>
      <c r="P7" s="219">
        <v>4.4876649593663777E-3</v>
      </c>
      <c r="Q7" s="219">
        <v>4.6038978600922023E-3</v>
      </c>
      <c r="R7" s="219">
        <v>4.6405000680183866E-3</v>
      </c>
      <c r="S7" s="219">
        <v>4.6773932731964171E-3</v>
      </c>
      <c r="T7" s="219">
        <v>4.7145797891315561E-3</v>
      </c>
      <c r="U7" s="219">
        <v>4.7520619477220425E-3</v>
      </c>
      <c r="V7" s="219">
        <v>4.7898420994053259E-3</v>
      </c>
      <c r="W7" s="219">
        <v>4.7419436784112727E-3</v>
      </c>
      <c r="X7" s="219">
        <v>4.6945242416271604E-3</v>
      </c>
      <c r="Y7" s="15" t="s">
        <v>417</v>
      </c>
    </row>
    <row r="8" spans="1:25" x14ac:dyDescent="0.35">
      <c r="A8" s="17"/>
      <c r="B8" s="17"/>
      <c r="C8" s="17" t="s">
        <v>409</v>
      </c>
      <c r="D8" s="17"/>
      <c r="E8" s="26">
        <f t="shared" ref="E8:X8" si="0">E7*E12</f>
        <v>8734148.8443780001</v>
      </c>
      <c r="F8" s="26">
        <f t="shared" si="0"/>
        <v>8108000.1686229575</v>
      </c>
      <c r="G8" s="26">
        <f t="shared" si="0"/>
        <v>9640666.3591176718</v>
      </c>
      <c r="H8" s="26">
        <f t="shared" si="0"/>
        <v>8036005.036435483</v>
      </c>
      <c r="I8" s="26">
        <f t="shared" si="0"/>
        <v>7081513.5577150639</v>
      </c>
      <c r="J8" s="26">
        <f t="shared" si="0"/>
        <v>7353908.8700207276</v>
      </c>
      <c r="K8" s="26">
        <f t="shared" si="0"/>
        <v>6398802.2242132975</v>
      </c>
      <c r="L8" s="26">
        <f t="shared" si="0"/>
        <v>5912664.6723929066</v>
      </c>
      <c r="M8" s="26">
        <f t="shared" si="0"/>
        <v>5486346.4305263832</v>
      </c>
      <c r="N8" s="26">
        <f t="shared" si="0"/>
        <v>5090766.824016057</v>
      </c>
      <c r="O8" s="26">
        <f t="shared" si="0"/>
        <v>4723709.5186524792</v>
      </c>
      <c r="P8" s="26">
        <f t="shared" si="0"/>
        <v>4383117.9835899835</v>
      </c>
      <c r="Q8" s="26">
        <f t="shared" si="0"/>
        <v>4067083.9691155259</v>
      </c>
      <c r="R8" s="26">
        <f t="shared" si="0"/>
        <v>3707805.6856274386</v>
      </c>
      <c r="S8" s="26">
        <f t="shared" si="0"/>
        <v>3380265.3465649779</v>
      </c>
      <c r="T8" s="26">
        <f t="shared" si="0"/>
        <v>3081659.2836780492</v>
      </c>
      <c r="U8" s="26">
        <f t="shared" si="0"/>
        <v>2809431.499313971</v>
      </c>
      <c r="V8" s="26">
        <f t="shared" si="0"/>
        <v>2561251.7876788564</v>
      </c>
      <c r="W8" s="26">
        <f t="shared" si="0"/>
        <v>2293412.5931134201</v>
      </c>
      <c r="X8" s="26">
        <f t="shared" si="0"/>
        <v>2053582.2942335089</v>
      </c>
    </row>
    <row r="9" spans="1:25" x14ac:dyDescent="0.35">
      <c r="A9" s="17"/>
      <c r="B9" s="17"/>
      <c r="C9" s="17" t="s">
        <v>431</v>
      </c>
      <c r="D9" s="16">
        <f>SUM(E9:X9)</f>
        <v>35027805.156689689</v>
      </c>
      <c r="E9" s="26" cm="1">
        <f t="array" ref="E9:X9">capex_revenues/wacc_index</f>
        <v>7243377.9174165111</v>
      </c>
      <c r="F9" s="26">
        <v>5607383.0870781653</v>
      </c>
      <c r="G9" s="26">
        <v>5534136.6047805827</v>
      </c>
      <c r="H9" s="26">
        <v>3925641.0381581481</v>
      </c>
      <c r="I9" s="26">
        <v>2894318.6443028008</v>
      </c>
      <c r="J9" s="26">
        <v>2480228.0817106958</v>
      </c>
      <c r="K9" s="26">
        <v>1780841.177351237</v>
      </c>
      <c r="L9" s="26">
        <v>1357884.6428938541</v>
      </c>
      <c r="M9" s="26">
        <v>1039718.9988256888</v>
      </c>
      <c r="N9" s="26">
        <v>796102.67497781501</v>
      </c>
      <c r="O9" s="26">
        <v>609568.03696253989</v>
      </c>
      <c r="P9" s="26">
        <v>466740.28786138573</v>
      </c>
      <c r="Q9" s="26">
        <v>357378.4764018337</v>
      </c>
      <c r="R9" s="26">
        <v>268853.28385783703</v>
      </c>
      <c r="S9" s="26">
        <v>202256.41165885224</v>
      </c>
      <c r="T9" s="26">
        <v>152156.05876231758</v>
      </c>
      <c r="U9" s="26">
        <v>114465.9199092864</v>
      </c>
      <c r="V9" s="26">
        <v>86111.89674113768</v>
      </c>
      <c r="W9" s="26">
        <v>63627.696230620335</v>
      </c>
      <c r="X9" s="26">
        <v>47014.220808378042</v>
      </c>
    </row>
    <row r="10" spans="1:25" x14ac:dyDescent="0.35">
      <c r="D10" s="17" t="b">
        <f>ROUND(D9,0)=ROUND(D6,0)</f>
        <v>1</v>
      </c>
      <c r="E10" s="81"/>
      <c r="F10" s="81"/>
      <c r="G10" s="81"/>
      <c r="H10" s="81"/>
      <c r="I10" s="81"/>
      <c r="J10" s="81"/>
      <c r="K10" s="81"/>
      <c r="L10" s="81"/>
      <c r="M10" s="81"/>
      <c r="N10" s="81"/>
      <c r="O10" s="81"/>
      <c r="P10" s="81"/>
      <c r="Q10" s="81"/>
      <c r="R10" s="81"/>
      <c r="S10" s="81"/>
      <c r="T10" s="81"/>
      <c r="U10" s="81"/>
      <c r="V10" s="81"/>
      <c r="W10" s="81"/>
      <c r="X10" s="81"/>
    </row>
    <row r="11" spans="1:25" x14ac:dyDescent="0.35">
      <c r="E11" s="81"/>
    </row>
    <row r="12" spans="1:25" x14ac:dyDescent="0.35">
      <c r="A12" s="14" t="s">
        <v>397</v>
      </c>
      <c r="B12" s="17"/>
      <c r="C12" s="17"/>
      <c r="D12" s="26"/>
      <c r="E12" s="26" cm="1">
        <f t="array" ref="E12:X12">fixed_minutes_incoming</f>
        <v>2577904500</v>
      </c>
      <c r="F12" s="26">
        <v>2332027000</v>
      </c>
      <c r="G12" s="26">
        <v>2412044500</v>
      </c>
      <c r="H12" s="26">
        <v>2180745300</v>
      </c>
      <c r="I12" s="26">
        <v>1972421232.3716333</v>
      </c>
      <c r="J12" s="26">
        <v>1783998121.1517148</v>
      </c>
      <c r="K12" s="26">
        <v>1613574851.0707524</v>
      </c>
      <c r="L12" s="26">
        <v>1459431918.1945953</v>
      </c>
      <c r="M12" s="26">
        <v>1320014080.8043382</v>
      </c>
      <c r="N12" s="26">
        <v>1193914667.6175349</v>
      </c>
      <c r="O12" s="26">
        <v>1079861385.0268285</v>
      </c>
      <c r="P12" s="26">
        <v>976703480.15660346</v>
      </c>
      <c r="Q12" s="26">
        <v>883400130.21793544</v>
      </c>
      <c r="R12" s="26">
        <v>799009941.01499224</v>
      </c>
      <c r="S12" s="26">
        <v>722681448.64692688</v>
      </c>
      <c r="T12" s="26">
        <v>653644528.57116723</v>
      </c>
      <c r="U12" s="26">
        <v>591202625.34891939</v>
      </c>
      <c r="V12" s="26">
        <v>534725724.67406476</v>
      </c>
      <c r="W12" s="26">
        <v>483643996.77598</v>
      </c>
      <c r="X12" s="26">
        <v>437442047.0607093</v>
      </c>
    </row>
    <row r="13" spans="1:25" x14ac:dyDescent="0.35">
      <c r="A13" s="17"/>
      <c r="B13" s="17"/>
      <c r="C13" s="17" t="s">
        <v>407</v>
      </c>
      <c r="D13" s="26"/>
      <c r="E13" s="26" cm="1">
        <f t="array" ref="E13:X13">fixed_minutes_incoming*capex_price_index</f>
        <v>2577904500</v>
      </c>
      <c r="F13" s="26">
        <v>2393095250.9640207</v>
      </c>
      <c r="G13" s="26">
        <v>2845465268.9100056</v>
      </c>
      <c r="H13" s="26">
        <v>2371845718.977438</v>
      </c>
      <c r="I13" s="26">
        <v>2090125322.1709585</v>
      </c>
      <c r="J13" s="26">
        <v>2170523436.9596334</v>
      </c>
      <c r="K13" s="26">
        <v>1888621472.1457717</v>
      </c>
      <c r="L13" s="26">
        <v>1745136834.4568412</v>
      </c>
      <c r="M13" s="26">
        <v>1619308006.2880597</v>
      </c>
      <c r="N13" s="26">
        <v>1502551758.3810182</v>
      </c>
      <c r="O13" s="26">
        <v>1394213934.4997916</v>
      </c>
      <c r="P13" s="26">
        <v>1293687544.7457774</v>
      </c>
      <c r="Q13" s="26">
        <v>1200409364.7441647</v>
      </c>
      <c r="R13" s="26">
        <v>1094367537.3997195</v>
      </c>
      <c r="S13" s="26">
        <v>997693238.73074913</v>
      </c>
      <c r="T13" s="26">
        <v>909558959.4828074</v>
      </c>
      <c r="U13" s="26">
        <v>829210290.95869517</v>
      </c>
      <c r="V13" s="26">
        <v>755959467.45748138</v>
      </c>
      <c r="W13" s="26">
        <v>676906101.49715054</v>
      </c>
      <c r="X13" s="26">
        <v>606119626.73758316</v>
      </c>
      <c r="Y13" s="15" t="s">
        <v>408</v>
      </c>
    </row>
    <row r="14" spans="1:25" x14ac:dyDescent="0.35">
      <c r="A14" s="17"/>
      <c r="B14" s="17"/>
      <c r="C14" s="17" t="s">
        <v>406</v>
      </c>
      <c r="D14" s="26">
        <f>SUM(E14:X14)</f>
        <v>10338538780.0755</v>
      </c>
      <c r="E14" s="26" cm="1">
        <f t="array" ref="E14:X14">volume_ed_capex/wacc_index</f>
        <v>2137899967.2678955</v>
      </c>
      <c r="F14" s="26">
        <v>1655032259.1201644</v>
      </c>
      <c r="G14" s="26">
        <v>1633413388.2160292</v>
      </c>
      <c r="H14" s="26">
        <v>1158662152.1989014</v>
      </c>
      <c r="I14" s="26">
        <v>854264930.73618352</v>
      </c>
      <c r="J14" s="26">
        <v>732045130.76095879</v>
      </c>
      <c r="K14" s="26">
        <v>525619446.91772509</v>
      </c>
      <c r="L14" s="26">
        <v>400782834.56895298</v>
      </c>
      <c r="M14" s="26">
        <v>306875499.09725797</v>
      </c>
      <c r="N14" s="26">
        <v>234971570.19580185</v>
      </c>
      <c r="O14" s="26">
        <v>179915434.63944772</v>
      </c>
      <c r="P14" s="26">
        <v>137759489.77371109</v>
      </c>
      <c r="Q14" s="26">
        <v>105481094.83071674</v>
      </c>
      <c r="R14" s="26">
        <v>79352676.791513115</v>
      </c>
      <c r="S14" s="26">
        <v>59696453.891419671</v>
      </c>
      <c r="T14" s="26">
        <v>44909217.323233791</v>
      </c>
      <c r="U14" s="26">
        <v>33784884.513472386</v>
      </c>
      <c r="V14" s="26">
        <v>25416128.127402324</v>
      </c>
      <c r="W14" s="26">
        <v>18779863.65473146</v>
      </c>
      <c r="X14" s="26">
        <v>13876357.449979145</v>
      </c>
    </row>
    <row r="15" spans="1:25" x14ac:dyDescent="0.35">
      <c r="D15" s="15" t="s">
        <v>423</v>
      </c>
    </row>
    <row r="17" spans="1:25" x14ac:dyDescent="0.35">
      <c r="D17" s="52" t="s">
        <v>345</v>
      </c>
      <c r="E17" s="52" cm="1">
        <f t="array" ref="E17:X17">years</f>
        <v>2018</v>
      </c>
      <c r="F17" s="52">
        <v>2019</v>
      </c>
      <c r="G17" s="52">
        <v>2020</v>
      </c>
      <c r="H17" s="52">
        <v>2021</v>
      </c>
      <c r="I17" s="52">
        <v>2022</v>
      </c>
      <c r="J17" s="52">
        <v>2023</v>
      </c>
      <c r="K17" s="52">
        <v>2024</v>
      </c>
      <c r="L17" s="52">
        <v>2025</v>
      </c>
      <c r="M17" s="52">
        <v>2026</v>
      </c>
      <c r="N17" s="52">
        <v>2027</v>
      </c>
      <c r="O17" s="52">
        <v>2028</v>
      </c>
      <c r="P17" s="52">
        <v>2029</v>
      </c>
      <c r="Q17" s="52">
        <v>2030</v>
      </c>
      <c r="R17" s="52">
        <v>2031</v>
      </c>
      <c r="S17" s="52">
        <v>2032</v>
      </c>
      <c r="T17" s="52">
        <v>2033</v>
      </c>
      <c r="U17" s="52">
        <v>2034</v>
      </c>
      <c r="V17" s="52">
        <v>2035</v>
      </c>
      <c r="W17" s="52">
        <v>2036</v>
      </c>
      <c r="X17" s="52">
        <v>2037</v>
      </c>
    </row>
    <row r="18" spans="1:25" x14ac:dyDescent="0.35">
      <c r="A18" s="17"/>
      <c r="B18" s="17" t="s">
        <v>405</v>
      </c>
      <c r="C18" s="233" t="s">
        <v>430</v>
      </c>
      <c r="D18" s="26">
        <f>core_costs_opex_incomingonly_discounted_pv</f>
        <v>15479139.761742854</v>
      </c>
      <c r="E18" s="17"/>
      <c r="F18" s="17"/>
      <c r="G18" s="17"/>
      <c r="H18" s="17"/>
      <c r="I18" s="17"/>
      <c r="J18" s="17"/>
      <c r="K18" s="17"/>
      <c r="L18" s="17"/>
      <c r="M18" s="17"/>
      <c r="N18" s="17"/>
      <c r="O18" s="17"/>
      <c r="P18" s="17"/>
      <c r="Q18" s="17"/>
      <c r="R18" s="17"/>
      <c r="S18" s="17"/>
      <c r="T18" s="17"/>
      <c r="U18" s="17"/>
      <c r="V18" s="17"/>
      <c r="W18" s="17"/>
      <c r="X18" s="17"/>
    </row>
    <row r="19" spans="1:25" x14ac:dyDescent="0.35">
      <c r="A19" s="17"/>
      <c r="B19" s="17"/>
      <c r="C19" s="17" t="s">
        <v>421</v>
      </c>
      <c r="D19" s="223">
        <f>D18/D26</f>
        <v>1.4224683209085687E-3</v>
      </c>
      <c r="E19" s="224" cm="1">
        <f t="array" ref="E19:X19">$D$19*opex_price_index</f>
        <v>1.4224683209085687E-3</v>
      </c>
      <c r="F19" s="223">
        <v>1.48078952206582E-3</v>
      </c>
      <c r="G19" s="223">
        <v>1.5296555762939917E-3</v>
      </c>
      <c r="H19" s="223">
        <v>1.5984900772272213E-3</v>
      </c>
      <c r="I19" s="223">
        <v>1.7087858925558994E-3</v>
      </c>
      <c r="J19" s="223">
        <v>1.8113130461092537E-3</v>
      </c>
      <c r="K19" s="223">
        <v>1.9018786984147163E-3</v>
      </c>
      <c r="L19" s="223">
        <v>1.9874632398433783E-3</v>
      </c>
      <c r="M19" s="223">
        <v>2.0768990856363306E-3</v>
      </c>
      <c r="N19" s="223">
        <v>2.170359544489965E-3</v>
      </c>
      <c r="O19" s="223">
        <v>2.2680257239920134E-3</v>
      </c>
      <c r="P19" s="223">
        <v>2.3700868815716538E-3</v>
      </c>
      <c r="Q19" s="223">
        <v>2.4767407912423779E-3</v>
      </c>
      <c r="R19" s="223">
        <v>2.5881941268482843E-3</v>
      </c>
      <c r="S19" s="223">
        <v>2.7046628625564573E-3</v>
      </c>
      <c r="T19" s="223">
        <v>2.8263726913714976E-3</v>
      </c>
      <c r="U19" s="223">
        <v>2.9535594624832146E-3</v>
      </c>
      <c r="V19" s="223">
        <v>3.0864696382949591E-3</v>
      </c>
      <c r="W19" s="223">
        <v>3.2253607720182319E-3</v>
      </c>
      <c r="X19" s="223">
        <v>3.3705020067590517E-3</v>
      </c>
      <c r="Y19" s="15" t="s">
        <v>416</v>
      </c>
    </row>
    <row r="20" spans="1:25" x14ac:dyDescent="0.35">
      <c r="A20" s="17"/>
      <c r="B20" s="17"/>
      <c r="C20" s="17" t="s">
        <v>411</v>
      </c>
      <c r="D20" s="17"/>
      <c r="E20" s="26">
        <f t="shared" ref="E20:X20" si="1">E19*E24</f>
        <v>3666987.4855776434</v>
      </c>
      <c r="F20" s="26">
        <f t="shared" si="1"/>
        <v>3453241.1467745882</v>
      </c>
      <c r="G20" s="26">
        <f t="shared" si="1"/>
        <v>3689597.3196942532</v>
      </c>
      <c r="H20" s="26">
        <f t="shared" si="1"/>
        <v>3485899.7230098997</v>
      </c>
      <c r="I20" s="26">
        <f t="shared" si="1"/>
        <v>3370445.5760543686</v>
      </c>
      <c r="J20" s="26">
        <f t="shared" si="1"/>
        <v>3231379.0710764979</v>
      </c>
      <c r="K20" s="26">
        <f t="shared" si="1"/>
        <v>3068823.6375491624</v>
      </c>
      <c r="L20" s="26">
        <f t="shared" si="1"/>
        <v>2900567.2884658668</v>
      </c>
      <c r="M20" s="26">
        <f t="shared" si="1"/>
        <v>2741536.0374496114</v>
      </c>
      <c r="N20" s="26">
        <f t="shared" si="1"/>
        <v>2591224.0941702812</v>
      </c>
      <c r="O20" s="26">
        <f t="shared" si="1"/>
        <v>2449153.3995864913</v>
      </c>
      <c r="P20" s="26">
        <f t="shared" si="1"/>
        <v>2314872.1055045458</v>
      </c>
      <c r="Q20" s="26">
        <f t="shared" si="1"/>
        <v>2187953.137499589</v>
      </c>
      <c r="R20" s="26">
        <f t="shared" si="1"/>
        <v>2067992.836628397</v>
      </c>
      <c r="S20" s="26">
        <f t="shared" si="1"/>
        <v>1954609.6756138445</v>
      </c>
      <c r="T20" s="26">
        <f t="shared" si="1"/>
        <v>1847443.0454179437</v>
      </c>
      <c r="U20" s="26">
        <f t="shared" si="1"/>
        <v>1746152.1083442196</v>
      </c>
      <c r="V20" s="26">
        <f t="shared" si="1"/>
        <v>1650414.7140217705</v>
      </c>
      <c r="W20" s="26">
        <f t="shared" si="1"/>
        <v>1559926.3748233581</v>
      </c>
      <c r="X20" s="26">
        <f t="shared" si="1"/>
        <v>1474399.2974589083</v>
      </c>
    </row>
    <row r="21" spans="1:25" x14ac:dyDescent="0.35">
      <c r="A21" s="17"/>
      <c r="B21" s="17"/>
      <c r="C21" s="17" t="s">
        <v>432</v>
      </c>
      <c r="D21" s="16">
        <f>SUM(E21:X21)</f>
        <v>15479139.761742853</v>
      </c>
      <c r="E21" s="26" cm="1">
        <f t="array" ref="E21:X21">opex_revenues/wacc_index</f>
        <v>3041094.9767100471</v>
      </c>
      <c r="F21" s="26">
        <v>2388214.8001132696</v>
      </c>
      <c r="G21" s="26">
        <v>2117979.6938527231</v>
      </c>
      <c r="H21" s="26">
        <v>1702884.8221854456</v>
      </c>
      <c r="I21" s="26">
        <v>1377550.6310729522</v>
      </c>
      <c r="J21" s="26">
        <v>1089836.3382511651</v>
      </c>
      <c r="K21" s="26">
        <v>854079.76497480553</v>
      </c>
      <c r="L21" s="26">
        <v>666135.48965124518</v>
      </c>
      <c r="M21" s="26">
        <v>519549.23740172456</v>
      </c>
      <c r="N21" s="26">
        <v>405219.98043676652</v>
      </c>
      <c r="O21" s="26">
        <v>316049.41500127467</v>
      </c>
      <c r="P21" s="26">
        <v>246501.25251717464</v>
      </c>
      <c r="Q21" s="26">
        <v>192257.49078602417</v>
      </c>
      <c r="R21" s="26">
        <v>149950.32433258253</v>
      </c>
      <c r="S21" s="26">
        <v>116953.04914008177</v>
      </c>
      <c r="T21" s="26">
        <v>91216.979783419491</v>
      </c>
      <c r="U21" s="26">
        <v>71144.253715375526</v>
      </c>
      <c r="V21" s="26">
        <v>55488.625568786447</v>
      </c>
      <c r="W21" s="26">
        <v>43278.092139823195</v>
      </c>
      <c r="X21" s="26">
        <v>33754.544108164475</v>
      </c>
    </row>
    <row r="22" spans="1:25" x14ac:dyDescent="0.35">
      <c r="D22" s="17" t="b">
        <f>ROUND(D21,2)=ROUND(D18,2)</f>
        <v>1</v>
      </c>
    </row>
    <row r="24" spans="1:25" x14ac:dyDescent="0.35">
      <c r="A24" s="17" t="s">
        <v>397</v>
      </c>
      <c r="B24" s="17"/>
      <c r="C24" s="17"/>
      <c r="D24" s="17"/>
      <c r="E24" s="26" cm="1">
        <f t="array" ref="E24:X24">fixed_minutes_incoming</f>
        <v>2577904500</v>
      </c>
      <c r="F24" s="26">
        <v>2332027000</v>
      </c>
      <c r="G24" s="26">
        <v>2412044500</v>
      </c>
      <c r="H24" s="26">
        <v>2180745300</v>
      </c>
      <c r="I24" s="26">
        <v>1972421232.3716333</v>
      </c>
      <c r="J24" s="26">
        <v>1783998121.1517148</v>
      </c>
      <c r="K24" s="26">
        <v>1613574851.0707524</v>
      </c>
      <c r="L24" s="26">
        <v>1459431918.1945953</v>
      </c>
      <c r="M24" s="26">
        <v>1320014080.8043382</v>
      </c>
      <c r="N24" s="26">
        <v>1193914667.6175349</v>
      </c>
      <c r="O24" s="26">
        <v>1079861385.0268285</v>
      </c>
      <c r="P24" s="26">
        <v>976703480.15660346</v>
      </c>
      <c r="Q24" s="26">
        <v>883400130.21793544</v>
      </c>
      <c r="R24" s="26">
        <v>799009941.01499224</v>
      </c>
      <c r="S24" s="26">
        <v>722681448.64692688</v>
      </c>
      <c r="T24" s="26">
        <v>653644528.57116723</v>
      </c>
      <c r="U24" s="26">
        <v>591202625.34891939</v>
      </c>
      <c r="V24" s="26">
        <v>534725724.67406476</v>
      </c>
      <c r="W24" s="26">
        <v>483643996.77598</v>
      </c>
      <c r="X24" s="26">
        <v>437442047.0607093</v>
      </c>
    </row>
    <row r="25" spans="1:25" x14ac:dyDescent="0.35">
      <c r="A25" s="17"/>
      <c r="B25" s="17"/>
      <c r="C25" s="17"/>
      <c r="D25" s="17"/>
      <c r="E25" s="26" cm="1">
        <f t="array" ref="E25:X25">fixed_minutes_incoming*opex_price_index</f>
        <v>2577904500</v>
      </c>
      <c r="F25" s="26">
        <v>2427640107</v>
      </c>
      <c r="G25" s="26">
        <v>2593799289.2084994</v>
      </c>
      <c r="H25" s="26">
        <v>2450599195.6174898</v>
      </c>
      <c r="I25" s="26">
        <v>2369434543.1197896</v>
      </c>
      <c r="J25" s="26">
        <v>2271670323.7457895</v>
      </c>
      <c r="K25" s="26">
        <v>2157393308.828855</v>
      </c>
      <c r="L25" s="26">
        <v>2039108531.1574438</v>
      </c>
      <c r="M25" s="26">
        <v>1927309028.3645253</v>
      </c>
      <c r="N25" s="26">
        <v>1821639228.1518064</v>
      </c>
      <c r="O25" s="26">
        <v>1721763053.4099705</v>
      </c>
      <c r="P25" s="26">
        <v>1627362853.343528</v>
      </c>
      <c r="Q25" s="26">
        <v>1538138393.1995649</v>
      </c>
      <c r="R25" s="26">
        <v>1453805899.3872809</v>
      </c>
      <c r="S25" s="26">
        <v>1374097156.9513638</v>
      </c>
      <c r="T25" s="26">
        <v>1298758656.5287671</v>
      </c>
      <c r="U25" s="26">
        <v>1227550788.0758324</v>
      </c>
      <c r="V25" s="26">
        <v>1160247078.80145</v>
      </c>
      <c r="W25" s="26">
        <v>1096633472.8825393</v>
      </c>
      <c r="X25" s="26">
        <v>1036507650.6710321</v>
      </c>
      <c r="Y25" s="15" t="s">
        <v>410</v>
      </c>
    </row>
    <row r="26" spans="1:25" x14ac:dyDescent="0.35">
      <c r="A26" s="17"/>
      <c r="B26" s="17"/>
      <c r="C26" s="17"/>
      <c r="D26" s="16">
        <f>SUM(E26:X26)</f>
        <v>10881887163.473639</v>
      </c>
      <c r="E26" s="26" cm="1">
        <f t="array" ref="E26:X26">volume_ed_opex/wacc_index</f>
        <v>2137899967.2678955</v>
      </c>
      <c r="F26" s="26">
        <v>1678923013.6161153</v>
      </c>
      <c r="G26" s="26">
        <v>1488946827.6523111</v>
      </c>
      <c r="H26" s="26">
        <v>1197133740.8046932</v>
      </c>
      <c r="I26" s="26">
        <v>968422713.40923333</v>
      </c>
      <c r="J26" s="26">
        <v>766158600.67453551</v>
      </c>
      <c r="K26" s="26">
        <v>600420939.02610219</v>
      </c>
      <c r="L26" s="26">
        <v>468295483.18219602</v>
      </c>
      <c r="M26" s="26">
        <v>365244856.25794083</v>
      </c>
      <c r="N26" s="26">
        <v>284871005.19605356</v>
      </c>
      <c r="O26" s="26">
        <v>222183798.65177268</v>
      </c>
      <c r="P26" s="26">
        <v>173291207.18816969</v>
      </c>
      <c r="Q26" s="26">
        <v>135157660.77885246</v>
      </c>
      <c r="R26" s="26">
        <v>105415580.88042709</v>
      </c>
      <c r="S26" s="26">
        <v>82218385.760169834</v>
      </c>
      <c r="T26" s="26">
        <v>64125842.693745732</v>
      </c>
      <c r="U26" s="26">
        <v>50014648.951854184</v>
      </c>
      <c r="V26" s="26">
        <v>39008689.861960769</v>
      </c>
      <c r="W26" s="26">
        <v>30424643.912055846</v>
      </c>
      <c r="X26" s="26">
        <v>23729557.707552001</v>
      </c>
    </row>
    <row r="27" spans="1:25" x14ac:dyDescent="0.35">
      <c r="D27" s="15" t="s">
        <v>422</v>
      </c>
    </row>
    <row r="28" spans="1:25" x14ac:dyDescent="0.35">
      <c r="E28" s="209" cm="1">
        <f t="array" ref="E28:X28">years</f>
        <v>2018</v>
      </c>
      <c r="F28" s="209">
        <v>2019</v>
      </c>
      <c r="G28" s="209">
        <v>2020</v>
      </c>
      <c r="H28" s="209">
        <v>2021</v>
      </c>
      <c r="I28" s="209">
        <v>2022</v>
      </c>
      <c r="J28" s="209">
        <v>2023</v>
      </c>
      <c r="K28" s="209">
        <v>2024</v>
      </c>
      <c r="L28" s="209">
        <v>2025</v>
      </c>
      <c r="M28" s="209">
        <v>2026</v>
      </c>
      <c r="N28" s="209">
        <v>2027</v>
      </c>
      <c r="O28" s="209">
        <v>2028</v>
      </c>
      <c r="P28" s="209">
        <v>2029</v>
      </c>
      <c r="Q28" s="209">
        <v>2030</v>
      </c>
      <c r="R28" s="209">
        <v>2031</v>
      </c>
      <c r="S28" s="209">
        <v>2032</v>
      </c>
      <c r="T28" s="209">
        <v>2033</v>
      </c>
      <c r="U28" s="209">
        <v>2034</v>
      </c>
      <c r="V28" s="209">
        <v>2035</v>
      </c>
      <c r="W28" s="209">
        <v>2036</v>
      </c>
      <c r="X28" s="209">
        <v>2037</v>
      </c>
    </row>
    <row r="29" spans="1:25" x14ac:dyDescent="0.35">
      <c r="A29" s="17" t="s">
        <v>415</v>
      </c>
      <c r="B29" s="17"/>
      <c r="C29" s="17"/>
      <c r="D29" s="17"/>
      <c r="E29" s="225" cm="1">
        <f t="array" ref="E29:X29">capex_tariff+ opex_tariff</f>
        <v>4.8105491611328674E-3</v>
      </c>
      <c r="F29" s="225">
        <v>4.9575932505916721E-3</v>
      </c>
      <c r="G29" s="225">
        <v>5.5265413547767976E-3</v>
      </c>
      <c r="H29" s="225">
        <v>5.2834710956136798E-3</v>
      </c>
      <c r="I29" s="225">
        <v>5.2990502039982745E-3</v>
      </c>
      <c r="J29" s="225">
        <v>5.9334636150084998E-3</v>
      </c>
      <c r="K29" s="225">
        <v>5.8674847686674327E-3</v>
      </c>
      <c r="L29" s="225">
        <v>6.0388099307580375E-3</v>
      </c>
      <c r="M29" s="225">
        <v>6.2331778028931412E-3</v>
      </c>
      <c r="N29" s="225">
        <v>6.4342880831808561E-3</v>
      </c>
      <c r="O29" s="225">
        <v>6.6423922715421156E-3</v>
      </c>
      <c r="P29" s="225">
        <v>6.8577518409380315E-3</v>
      </c>
      <c r="Q29" s="225">
        <v>7.0806386513345802E-3</v>
      </c>
      <c r="R29" s="225">
        <v>7.2286941948666705E-3</v>
      </c>
      <c r="S29" s="225">
        <v>7.3820561357528739E-3</v>
      </c>
      <c r="T29" s="225">
        <v>7.5409524805030541E-3</v>
      </c>
      <c r="U29" s="225">
        <v>7.7056214102052571E-3</v>
      </c>
      <c r="V29" s="225">
        <v>7.876311737700285E-3</v>
      </c>
      <c r="W29" s="225">
        <v>7.9673044504295042E-3</v>
      </c>
      <c r="X29" s="225">
        <v>8.0650262483862121E-3</v>
      </c>
      <c r="Y29" s="15" t="s">
        <v>418</v>
      </c>
    </row>
    <row r="31" spans="1:25" x14ac:dyDescent="0.35">
      <c r="A31" s="17" t="s">
        <v>419</v>
      </c>
      <c r="B31" s="17"/>
      <c r="C31" s="17" t="s">
        <v>433</v>
      </c>
      <c r="D31" s="16"/>
      <c r="E31" s="218" cm="1">
        <f t="array" ref="E31:X31">ROUND(pure_lric*fixed_minutes_incoming,2)</f>
        <v>12401136.33</v>
      </c>
      <c r="F31" s="218">
        <v>11561241.32</v>
      </c>
      <c r="G31" s="218">
        <v>13330263.68</v>
      </c>
      <c r="H31" s="218">
        <v>11521904.76</v>
      </c>
      <c r="I31" s="218">
        <v>10451959.130000001</v>
      </c>
      <c r="J31" s="218">
        <v>10585287.939999999</v>
      </c>
      <c r="K31" s="218">
        <v>9467625.8599999994</v>
      </c>
      <c r="L31" s="218">
        <v>8813231.9600000009</v>
      </c>
      <c r="M31" s="218">
        <v>8227882.4699999997</v>
      </c>
      <c r="N31" s="218">
        <v>7681990.9199999999</v>
      </c>
      <c r="O31" s="218">
        <v>7172862.9199999999</v>
      </c>
      <c r="P31" s="218">
        <v>6697990.0899999999</v>
      </c>
      <c r="Q31" s="218">
        <v>6255037.1100000003</v>
      </c>
      <c r="R31" s="218">
        <v>5775798.5199999996</v>
      </c>
      <c r="S31" s="218">
        <v>5334875.0199999996</v>
      </c>
      <c r="T31" s="218">
        <v>4929102.33</v>
      </c>
      <c r="U31" s="218">
        <v>4555583.6100000003</v>
      </c>
      <c r="V31" s="218">
        <v>4211666.5</v>
      </c>
      <c r="W31" s="218">
        <v>3853338.97</v>
      </c>
      <c r="X31" s="218">
        <v>3527981.59</v>
      </c>
    </row>
    <row r="32" spans="1:25" x14ac:dyDescent="0.35">
      <c r="A32" s="17"/>
      <c r="B32" s="17"/>
      <c r="C32" s="17" t="s">
        <v>434</v>
      </c>
      <c r="D32" s="16">
        <f>D26+D9</f>
        <v>10916914968.630329</v>
      </c>
      <c r="E32" s="218" cm="1">
        <f t="array" ref="E32:X32">ROUND(opex_revenues+capex_revenues,2)</f>
        <v>12401136.33</v>
      </c>
      <c r="F32" s="218">
        <v>11561241.32</v>
      </c>
      <c r="G32" s="218">
        <v>13330263.68</v>
      </c>
      <c r="H32" s="218">
        <v>11521904.76</v>
      </c>
      <c r="I32" s="218">
        <v>10451959.130000001</v>
      </c>
      <c r="J32" s="218">
        <v>10585287.939999999</v>
      </c>
      <c r="K32" s="218">
        <v>9467625.8599999994</v>
      </c>
      <c r="L32" s="218">
        <v>8813231.9600000009</v>
      </c>
      <c r="M32" s="218">
        <v>8227882.4699999997</v>
      </c>
      <c r="N32" s="218">
        <v>7681990.9199999999</v>
      </c>
      <c r="O32" s="218">
        <v>7172862.9199999999</v>
      </c>
      <c r="P32" s="218">
        <v>6697990.0899999999</v>
      </c>
      <c r="Q32" s="218">
        <v>6255037.1100000003</v>
      </c>
      <c r="R32" s="218">
        <v>5775798.5199999996</v>
      </c>
      <c r="S32" s="218">
        <v>5334875.0199999996</v>
      </c>
      <c r="T32" s="218">
        <v>4929102.33</v>
      </c>
      <c r="U32" s="218">
        <v>4555583.6100000003</v>
      </c>
      <c r="V32" s="218">
        <v>4211666.5</v>
      </c>
      <c r="W32" s="218">
        <v>3853338.97</v>
      </c>
      <c r="X32" s="218">
        <v>3527981.59</v>
      </c>
    </row>
    <row r="33" spans="1:24" x14ac:dyDescent="0.35">
      <c r="A33" s="17"/>
      <c r="B33" s="17"/>
      <c r="C33" s="17"/>
      <c r="D33" s="17"/>
      <c r="E33" s="17" t="b">
        <f>E32=E31</f>
        <v>1</v>
      </c>
      <c r="F33" s="17" t="b">
        <f t="shared" ref="F33:X33" si="2">F32=F31</f>
        <v>1</v>
      </c>
      <c r="G33" s="17" t="b">
        <f t="shared" si="2"/>
        <v>1</v>
      </c>
      <c r="H33" s="17" t="b">
        <f t="shared" si="2"/>
        <v>1</v>
      </c>
      <c r="I33" s="17" t="b">
        <f t="shared" si="2"/>
        <v>1</v>
      </c>
      <c r="J33" s="17" t="b">
        <f t="shared" si="2"/>
        <v>1</v>
      </c>
      <c r="K33" s="17" t="b">
        <f t="shared" si="2"/>
        <v>1</v>
      </c>
      <c r="L33" s="17" t="b">
        <f t="shared" si="2"/>
        <v>1</v>
      </c>
      <c r="M33" s="17" t="b">
        <f>M32=M31</f>
        <v>1</v>
      </c>
      <c r="N33" s="17" t="b">
        <f t="shared" si="2"/>
        <v>1</v>
      </c>
      <c r="O33" s="17" t="b">
        <f t="shared" si="2"/>
        <v>1</v>
      </c>
      <c r="P33" s="17" t="b">
        <f t="shared" si="2"/>
        <v>1</v>
      </c>
      <c r="Q33" s="17" t="b">
        <f t="shared" si="2"/>
        <v>1</v>
      </c>
      <c r="R33" s="17" t="b">
        <f t="shared" si="2"/>
        <v>1</v>
      </c>
      <c r="S33" s="17" t="b">
        <f t="shared" si="2"/>
        <v>1</v>
      </c>
      <c r="T33" s="17" t="b">
        <f t="shared" si="2"/>
        <v>1</v>
      </c>
      <c r="U33" s="17" t="b">
        <f t="shared" si="2"/>
        <v>1</v>
      </c>
      <c r="V33" s="17" t="b">
        <f t="shared" si="2"/>
        <v>1</v>
      </c>
      <c r="W33" s="17" t="b">
        <f t="shared" si="2"/>
        <v>1</v>
      </c>
      <c r="X33" s="17" t="b">
        <f t="shared" si="2"/>
        <v>1</v>
      </c>
    </row>
    <row r="34" spans="1:24" x14ac:dyDescent="0.35">
      <c r="D34" s="23"/>
      <c r="M34" s="23">
        <f>M31-M32</f>
        <v>0</v>
      </c>
    </row>
    <row r="35" spans="1:24" x14ac:dyDescent="0.35">
      <c r="D35" s="81"/>
    </row>
    <row r="36" spans="1:24" s="49" customFormat="1" x14ac:dyDescent="0.35">
      <c r="A36" s="48" t="s">
        <v>424</v>
      </c>
      <c r="D36" s="226"/>
    </row>
    <row r="37" spans="1:24" x14ac:dyDescent="0.35">
      <c r="D37" s="23"/>
    </row>
    <row r="38" spans="1:24" x14ac:dyDescent="0.35">
      <c r="A38" s="12" t="s">
        <v>425</v>
      </c>
      <c r="D38" s="52" t="s">
        <v>345</v>
      </c>
      <c r="E38" s="198" cm="1">
        <f t="array" ref="E38:X38">years</f>
        <v>2018</v>
      </c>
      <c r="F38" s="198">
        <v>2019</v>
      </c>
      <c r="G38" s="198">
        <v>2020</v>
      </c>
      <c r="H38" s="198">
        <v>2021</v>
      </c>
      <c r="I38" s="198">
        <v>2022</v>
      </c>
      <c r="J38" s="198">
        <v>2023</v>
      </c>
      <c r="K38" s="198">
        <v>2024</v>
      </c>
      <c r="L38" s="198">
        <v>2025</v>
      </c>
      <c r="M38" s="198">
        <v>2026</v>
      </c>
      <c r="N38" s="198">
        <v>2027</v>
      </c>
      <c r="O38" s="198">
        <v>2028</v>
      </c>
      <c r="P38" s="198">
        <v>2029</v>
      </c>
      <c r="Q38" s="198">
        <v>2030</v>
      </c>
      <c r="R38" s="198">
        <v>2031</v>
      </c>
      <c r="S38" s="198">
        <v>2032</v>
      </c>
      <c r="T38" s="198">
        <v>2033</v>
      </c>
      <c r="U38" s="198">
        <v>2034</v>
      </c>
      <c r="V38" s="198">
        <v>2035</v>
      </c>
      <c r="W38" s="198">
        <v>2036</v>
      </c>
      <c r="X38" s="198">
        <v>2037</v>
      </c>
    </row>
    <row r="39" spans="1:24" x14ac:dyDescent="0.35">
      <c r="A39" s="17"/>
      <c r="B39" s="17"/>
      <c r="C39" s="17" t="s">
        <v>426</v>
      </c>
      <c r="D39" s="16">
        <f>ROUND(SUM(E39:X39),0)</f>
        <v>50506945</v>
      </c>
      <c r="E39" s="26" cm="1">
        <f t="array" ref="E39:X39">E31:X31/wacc_index</f>
        <v>10284472.894163344</v>
      </c>
      <c r="F39" s="26">
        <v>7995597.8903744305</v>
      </c>
      <c r="G39" s="26">
        <v>7652116.2993153092</v>
      </c>
      <c r="H39" s="26">
        <v>5628525.8606145279</v>
      </c>
      <c r="I39" s="26">
        <v>4271869.273835131</v>
      </c>
      <c r="J39" s="26">
        <v>3570064.4195918031</v>
      </c>
      <c r="K39" s="26">
        <v>2634920.9418355348</v>
      </c>
      <c r="L39" s="26">
        <v>2024020.1323478762</v>
      </c>
      <c r="M39" s="26">
        <v>1559268.2366109833</v>
      </c>
      <c r="N39" s="26">
        <v>1201322.6556982049</v>
      </c>
      <c r="O39" s="26">
        <v>925617.45219106553</v>
      </c>
      <c r="P39" s="26">
        <v>713241.54047498025</v>
      </c>
      <c r="Q39" s="26">
        <v>549635.96748529084</v>
      </c>
      <c r="R39" s="26">
        <v>418803.6080268487</v>
      </c>
      <c r="S39" s="26">
        <v>319209.4606685653</v>
      </c>
      <c r="T39" s="26">
        <v>243373.03859037219</v>
      </c>
      <c r="U39" s="26">
        <v>185610.17372007534</v>
      </c>
      <c r="V39" s="26">
        <v>141600.52225274732</v>
      </c>
      <c r="W39" s="26">
        <v>106905.78842768489</v>
      </c>
      <c r="X39" s="26">
        <v>80768.764877796726</v>
      </c>
    </row>
    <row r="40" spans="1:24" x14ac:dyDescent="0.35">
      <c r="A40" s="17"/>
      <c r="B40" s="17"/>
      <c r="C40" s="17" t="s">
        <v>427</v>
      </c>
      <c r="D40" s="16">
        <f>ROUND(D6+D18,0)</f>
        <v>50506945</v>
      </c>
      <c r="E40" s="26"/>
      <c r="F40" s="26"/>
      <c r="G40" s="26"/>
      <c r="H40" s="26"/>
      <c r="I40" s="26"/>
      <c r="J40" s="26"/>
      <c r="K40" s="26"/>
      <c r="L40" s="26"/>
      <c r="M40" s="26"/>
      <c r="N40" s="26"/>
      <c r="O40" s="26"/>
      <c r="P40" s="26"/>
      <c r="Q40" s="26"/>
      <c r="R40" s="26"/>
      <c r="S40" s="26"/>
      <c r="T40" s="26"/>
      <c r="U40" s="26"/>
      <c r="V40" s="26"/>
      <c r="W40" s="26"/>
      <c r="X40" s="26"/>
    </row>
    <row r="41" spans="1:24" x14ac:dyDescent="0.35">
      <c r="D41" s="17" t="b">
        <f>ROUND(D40,0)=ROUND(D39,0)</f>
        <v>1</v>
      </c>
    </row>
  </sheetData>
  <conditionalFormatting sqref="D10">
    <cfRule type="cellIs" dxfId="7" priority="7" operator="equal">
      <formula>TRUE</formula>
    </cfRule>
    <cfRule type="cellIs" dxfId="6" priority="8" operator="equal">
      <formula>FALSE</formula>
    </cfRule>
  </conditionalFormatting>
  <conditionalFormatting sqref="D22">
    <cfRule type="cellIs" dxfId="5" priority="5" operator="equal">
      <formula>TRUE</formula>
    </cfRule>
    <cfRule type="cellIs" dxfId="4" priority="6" operator="equal">
      <formula>FALSE</formula>
    </cfRule>
  </conditionalFormatting>
  <conditionalFormatting sqref="D41">
    <cfRule type="cellIs" dxfId="3" priority="1" operator="equal">
      <formula>TRUE</formula>
    </cfRule>
    <cfRule type="cellIs" dxfId="2" priority="2" operator="equal">
      <formula>FALSE</formula>
    </cfRule>
  </conditionalFormatting>
  <conditionalFormatting sqref="E33:X33">
    <cfRule type="cellIs" dxfId="1" priority="3" operator="equal">
      <formula>TRUE</formula>
    </cfRule>
    <cfRule type="cellIs" dxfId="0" priority="4" operator="equal">
      <formula>FALSE</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B89FC-879E-4E94-B95D-DFA39955FFEF}">
  <sheetPr>
    <tabColor theme="3" tint="0.79998168889431442"/>
  </sheetPr>
  <dimension ref="B2"/>
  <sheetViews>
    <sheetView workbookViewId="0">
      <selection activeCell="B6" sqref="B6"/>
    </sheetView>
  </sheetViews>
  <sheetFormatPr defaultColWidth="8.54296875" defaultRowHeight="14.5" x14ac:dyDescent="0.35"/>
  <cols>
    <col min="1" max="16384" width="8.54296875" style="12"/>
  </cols>
  <sheetData>
    <row r="2" spans="2:2" x14ac:dyDescent="0.35">
      <c r="B2" s="12"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1D284-C3DD-4A9A-9C93-495896E40B45}">
  <dimension ref="A1:X58"/>
  <sheetViews>
    <sheetView topLeftCell="A10" zoomScaleNormal="100" workbookViewId="0">
      <pane xSplit="1" topLeftCell="B1" activePane="topRight" state="frozen"/>
      <selection activeCell="B6" sqref="B6"/>
      <selection pane="topRight" activeCell="H20" sqref="H20"/>
    </sheetView>
  </sheetViews>
  <sheetFormatPr defaultColWidth="8.54296875" defaultRowHeight="14.5" x14ac:dyDescent="0.35"/>
  <cols>
    <col min="1" max="1" width="55.54296875" style="12" customWidth="1"/>
    <col min="2" max="2" width="27.453125" style="12" customWidth="1"/>
    <col min="3" max="3" width="10" style="12" bestFit="1" customWidth="1"/>
    <col min="4" max="23" width="15.54296875" style="12" customWidth="1"/>
    <col min="24" max="16384" width="8.54296875" style="12"/>
  </cols>
  <sheetData>
    <row r="1" spans="1:24" ht="18.5" x14ac:dyDescent="0.45">
      <c r="A1" s="50" t="s">
        <v>256</v>
      </c>
      <c r="B1" s="50"/>
      <c r="C1" s="49"/>
    </row>
    <row r="3" spans="1:24" x14ac:dyDescent="0.35">
      <c r="D3" s="52" cm="1">
        <f t="array" ref="D3:W3">years</f>
        <v>2018</v>
      </c>
      <c r="E3" s="52">
        <v>2019</v>
      </c>
      <c r="F3" s="52">
        <v>2020</v>
      </c>
      <c r="G3" s="52">
        <v>2021</v>
      </c>
      <c r="H3" s="52">
        <v>2022</v>
      </c>
      <c r="I3" s="52">
        <v>2023</v>
      </c>
      <c r="J3" s="52">
        <v>2024</v>
      </c>
      <c r="K3" s="52">
        <v>2025</v>
      </c>
      <c r="L3" s="52">
        <v>2026</v>
      </c>
      <c r="M3" s="52">
        <v>2027</v>
      </c>
      <c r="N3" s="52">
        <v>2028</v>
      </c>
      <c r="O3" s="52">
        <v>2029</v>
      </c>
      <c r="P3" s="52">
        <v>2030</v>
      </c>
      <c r="Q3" s="52">
        <v>2031</v>
      </c>
      <c r="R3" s="52">
        <v>2032</v>
      </c>
      <c r="S3" s="52">
        <v>2033</v>
      </c>
      <c r="T3" s="52">
        <v>2034</v>
      </c>
      <c r="U3" s="52">
        <v>2035</v>
      </c>
      <c r="V3" s="52">
        <v>2036</v>
      </c>
      <c r="W3" s="52">
        <v>2037</v>
      </c>
    </row>
    <row r="4" spans="1:24" x14ac:dyDescent="0.35">
      <c r="A4" s="17" t="s">
        <v>257</v>
      </c>
      <c r="C4" s="239"/>
      <c r="D4" s="60"/>
      <c r="E4" s="60">
        <f>-1%+'Financial Inputs'!E10</f>
        <v>2.6186768405348955E-2</v>
      </c>
      <c r="F4" s="60">
        <f>-1%+'Financial Inputs'!F10</f>
        <v>0.14958625524066216</v>
      </c>
      <c r="G4" s="60">
        <f>-1%+'Financial Inputs'!G10</f>
        <v>-7.8036946108263491E-2</v>
      </c>
      <c r="H4" s="60">
        <f>-1%+'Financial Inputs'!H10</f>
        <v>-2.5703445003241059E-2</v>
      </c>
      <c r="I4" s="60">
        <f>-1%+'Financial Inputs'!I10</f>
        <v>0.14814682466739826</v>
      </c>
      <c r="J4" s="60">
        <f>-1%+'Financial Inputs'!J10</f>
        <v>-3.7976414502571824E-2</v>
      </c>
      <c r="K4" s="60">
        <f>-1%+'Financial Inputs'!K10</f>
        <v>2.162106350025806E-2</v>
      </c>
      <c r="L4" s="60">
        <f>-1%+'Financial Inputs'!L10</f>
        <v>2.5900529958955872E-2</v>
      </c>
      <c r="M4" s="60">
        <f>-1%+'Financial Inputs'!M10</f>
        <v>2.5900529958955872E-2</v>
      </c>
      <c r="N4" s="60">
        <f>-1%+'Financial Inputs'!N10</f>
        <v>2.5900529958955872E-2</v>
      </c>
      <c r="O4" s="60">
        <f>-1%+'Financial Inputs'!O10</f>
        <v>2.5900529958955872E-2</v>
      </c>
      <c r="P4" s="60">
        <f>-1%+'Financial Inputs'!P10</f>
        <v>2.5900529958955872E-2</v>
      </c>
      <c r="Q4" s="60">
        <f>-1%+'Financial Inputs'!Q10</f>
        <v>7.9502649794778255E-3</v>
      </c>
      <c r="R4" s="60">
        <f>-1%+'Financial Inputs'!R10</f>
        <v>7.9502649794778255E-3</v>
      </c>
      <c r="S4" s="60">
        <f>-1%+'Financial Inputs'!S10</f>
        <v>7.9502649794778255E-3</v>
      </c>
      <c r="T4" s="60">
        <f>-1%+'Financial Inputs'!T10</f>
        <v>7.9502649794778255E-3</v>
      </c>
      <c r="U4" s="60">
        <f>-1%+'Financial Inputs'!U10</f>
        <v>7.9502649794778255E-3</v>
      </c>
      <c r="V4" s="60">
        <f>-1%+'Financial Inputs'!V10</f>
        <v>-0.01</v>
      </c>
      <c r="W4" s="60">
        <f>-1%+'Financial Inputs'!W10</f>
        <v>-0.01</v>
      </c>
      <c r="X4" s="15" t="s">
        <v>382</v>
      </c>
    </row>
    <row r="5" spans="1:24" x14ac:dyDescent="0.35">
      <c r="A5" s="17" t="s">
        <v>381</v>
      </c>
      <c r="D5" s="112">
        <v>1</v>
      </c>
      <c r="E5" s="232">
        <f>D5*(1+E4)</f>
        <v>1.0261867684053489</v>
      </c>
      <c r="F5" s="232">
        <f t="shared" ref="F5:W5" si="0">E5*(1+F4)</f>
        <v>1.1796902042686217</v>
      </c>
      <c r="G5" s="232">
        <f t="shared" si="0"/>
        <v>1.0876307833736649</v>
      </c>
      <c r="H5" s="232">
        <f t="shared" si="0"/>
        <v>1.059674925349388</v>
      </c>
      <c r="I5" s="232">
        <f t="shared" si="0"/>
        <v>1.2166624007195621</v>
      </c>
      <c r="J5" s="232">
        <f t="shared" si="0"/>
        <v>1.1704579250801419</v>
      </c>
      <c r="K5" s="232">
        <f t="shared" si="0"/>
        <v>1.19576447020268</v>
      </c>
      <c r="L5" s="232">
        <f t="shared" si="0"/>
        <v>1.2267354036870195</v>
      </c>
      <c r="M5" s="232">
        <f t="shared" si="0"/>
        <v>1.258508500761927</v>
      </c>
      <c r="N5" s="232">
        <f t="shared" si="0"/>
        <v>1.2911045378895118</v>
      </c>
      <c r="O5" s="232">
        <f t="shared" si="0"/>
        <v>1.3245448296532629</v>
      </c>
      <c r="P5" s="232">
        <f t="shared" si="0"/>
        <v>1.3588512426956774</v>
      </c>
      <c r="Q5" s="232">
        <f t="shared" si="0"/>
        <v>1.3696544701428006</v>
      </c>
      <c r="R5" s="232">
        <f t="shared" si="0"/>
        <v>1.3805435861107622</v>
      </c>
      <c r="S5" s="232">
        <f t="shared" si="0"/>
        <v>1.3915192734360613</v>
      </c>
      <c r="T5" s="232">
        <f t="shared" si="0"/>
        <v>1.4025822203839284</v>
      </c>
      <c r="U5" s="232">
        <f t="shared" si="0"/>
        <v>1.4137331206914849</v>
      </c>
      <c r="V5" s="232">
        <f t="shared" si="0"/>
        <v>1.3995957894845701</v>
      </c>
      <c r="W5" s="232">
        <f t="shared" si="0"/>
        <v>1.3855998315897244</v>
      </c>
      <c r="X5" s="15" t="s">
        <v>383</v>
      </c>
    </row>
    <row r="7" spans="1:24" x14ac:dyDescent="0.35">
      <c r="A7" s="17" t="s">
        <v>258</v>
      </c>
      <c r="D7" s="60" cm="1">
        <f t="array" ref="D7:W7">inflation</f>
        <v>4.7E-2</v>
      </c>
      <c r="E7" s="60">
        <v>4.0999999999999995E-2</v>
      </c>
      <c r="F7" s="60">
        <v>3.3000000000000002E-2</v>
      </c>
      <c r="G7" s="60">
        <v>4.4999999999999998E-2</v>
      </c>
      <c r="H7" s="60">
        <v>6.9000000000000006E-2</v>
      </c>
      <c r="I7" s="60">
        <v>0.06</v>
      </c>
      <c r="J7" s="60">
        <v>0.05</v>
      </c>
      <c r="K7" s="60">
        <v>4.4999999999999998E-2</v>
      </c>
      <c r="L7" s="60">
        <v>4.4999999999999998E-2</v>
      </c>
      <c r="M7" s="60">
        <v>4.4999999999999998E-2</v>
      </c>
      <c r="N7" s="60">
        <v>4.4999999999999998E-2</v>
      </c>
      <c r="O7" s="60">
        <v>4.4999999999999998E-2</v>
      </c>
      <c r="P7" s="60">
        <v>4.4999999999999998E-2</v>
      </c>
      <c r="Q7" s="60">
        <v>4.4999999999999998E-2</v>
      </c>
      <c r="R7" s="60">
        <v>4.4999999999999998E-2</v>
      </c>
      <c r="S7" s="60">
        <v>4.4999999999999998E-2</v>
      </c>
      <c r="T7" s="60">
        <v>4.4999999999999998E-2</v>
      </c>
      <c r="U7" s="60">
        <v>4.4999999999999998E-2</v>
      </c>
      <c r="V7" s="60">
        <v>4.4999999999999998E-2</v>
      </c>
      <c r="W7" s="60">
        <v>4.4999999999999998E-2</v>
      </c>
      <c r="X7" s="15"/>
    </row>
    <row r="8" spans="1:24" x14ac:dyDescent="0.35">
      <c r="A8" s="17" t="s">
        <v>259</v>
      </c>
      <c r="D8" s="3">
        <v>1</v>
      </c>
      <c r="E8" s="235">
        <f t="shared" ref="E8:W8" si="1">D8*(1+E7)</f>
        <v>1.0409999999999999</v>
      </c>
      <c r="F8" s="235">
        <f t="shared" si="1"/>
        <v>1.0753529999999998</v>
      </c>
      <c r="G8" s="235">
        <f t="shared" si="1"/>
        <v>1.1237438849999997</v>
      </c>
      <c r="H8" s="235">
        <f t="shared" si="1"/>
        <v>1.2012822130649996</v>
      </c>
      <c r="I8" s="235">
        <f t="shared" si="1"/>
        <v>1.2733591458488998</v>
      </c>
      <c r="J8" s="235">
        <f t="shared" si="1"/>
        <v>1.3370271031413448</v>
      </c>
      <c r="K8" s="235">
        <f t="shared" si="1"/>
        <v>1.3971933227827051</v>
      </c>
      <c r="L8" s="235">
        <f t="shared" si="1"/>
        <v>1.4600670223079268</v>
      </c>
      <c r="M8" s="235">
        <f t="shared" si="1"/>
        <v>1.5257700383117834</v>
      </c>
      <c r="N8" s="235">
        <f t="shared" si="1"/>
        <v>1.5944296900358135</v>
      </c>
      <c r="O8" s="235">
        <f t="shared" si="1"/>
        <v>1.666179026087425</v>
      </c>
      <c r="P8" s="235">
        <f t="shared" si="1"/>
        <v>1.7411570822613589</v>
      </c>
      <c r="Q8" s="235">
        <f t="shared" si="1"/>
        <v>1.8195091509631198</v>
      </c>
      <c r="R8" s="235">
        <f t="shared" si="1"/>
        <v>1.9013870627564602</v>
      </c>
      <c r="S8" s="235">
        <f t="shared" si="1"/>
        <v>1.9869494805805008</v>
      </c>
      <c r="T8" s="235">
        <f t="shared" si="1"/>
        <v>2.076362207206623</v>
      </c>
      <c r="U8" s="235">
        <f t="shared" si="1"/>
        <v>2.1697985065309209</v>
      </c>
      <c r="V8" s="235">
        <f t="shared" si="1"/>
        <v>2.2674394393248121</v>
      </c>
      <c r="W8" s="235">
        <f t="shared" si="1"/>
        <v>2.3694742140944283</v>
      </c>
      <c r="X8" s="15" t="s">
        <v>384</v>
      </c>
    </row>
    <row r="10" spans="1:24" x14ac:dyDescent="0.35">
      <c r="A10" s="17" t="s">
        <v>441</v>
      </c>
      <c r="D10" s="60">
        <f>(1+D7)/(1+D4)-1</f>
        <v>4.6999999999999931E-2</v>
      </c>
      <c r="E10" s="60">
        <f t="shared" ref="E10:W10" si="2">(1+E7)/(1+E4)-1</f>
        <v>1.4435219835927215E-2</v>
      </c>
      <c r="F10" s="60">
        <f t="shared" si="2"/>
        <v>-0.10141583957634848</v>
      </c>
      <c r="G10" s="60">
        <f t="shared" si="2"/>
        <v>0.13345105922510347</v>
      </c>
      <c r="H10" s="60">
        <f t="shared" si="2"/>
        <v>9.7201867868203617E-2</v>
      </c>
      <c r="I10" s="60">
        <f t="shared" si="2"/>
        <v>-7.6773129336427104E-2</v>
      </c>
      <c r="J10" s="60">
        <f t="shared" si="2"/>
        <v>9.1449332250084447E-2</v>
      </c>
      <c r="K10" s="60">
        <f t="shared" si="2"/>
        <v>2.2884156694696012E-2</v>
      </c>
      <c r="L10" s="60">
        <f t="shared" si="2"/>
        <v>1.8617272808902907E-2</v>
      </c>
      <c r="M10" s="60">
        <f t="shared" si="2"/>
        <v>1.8617272808902907E-2</v>
      </c>
      <c r="N10" s="60">
        <f t="shared" si="2"/>
        <v>1.8617272808902907E-2</v>
      </c>
      <c r="O10" s="60">
        <f t="shared" si="2"/>
        <v>1.8617272808902907E-2</v>
      </c>
      <c r="P10" s="60">
        <f t="shared" si="2"/>
        <v>1.8617272808902907E-2</v>
      </c>
      <c r="Q10" s="60">
        <f t="shared" si="2"/>
        <v>3.6757503130649516E-2</v>
      </c>
      <c r="R10" s="60">
        <f t="shared" si="2"/>
        <v>3.6757503130649516E-2</v>
      </c>
      <c r="S10" s="60">
        <f t="shared" si="2"/>
        <v>3.6757503130649516E-2</v>
      </c>
      <c r="T10" s="60">
        <f t="shared" si="2"/>
        <v>3.6757503130649516E-2</v>
      </c>
      <c r="U10" s="60">
        <f t="shared" si="2"/>
        <v>3.6757503130649516E-2</v>
      </c>
      <c r="V10" s="60">
        <f t="shared" si="2"/>
        <v>5.555555555555558E-2</v>
      </c>
      <c r="W10" s="60">
        <f t="shared" si="2"/>
        <v>5.555555555555558E-2</v>
      </c>
    </row>
    <row r="11" spans="1:24" x14ac:dyDescent="0.35">
      <c r="A11" s="17" t="s">
        <v>442</v>
      </c>
      <c r="D11" s="238">
        <f>1+D10</f>
        <v>1.0469999999999999</v>
      </c>
      <c r="E11" s="238">
        <f>D11*(1+E10)</f>
        <v>1.0621136751682156</v>
      </c>
      <c r="F11" s="238">
        <f t="shared" ref="F11:W11" si="3">E11*(1+F10)</f>
        <v>0.95439852507551004</v>
      </c>
      <c r="G11" s="238">
        <f t="shared" si="3"/>
        <v>1.0817640191697133</v>
      </c>
      <c r="H11" s="238">
        <f t="shared" si="3"/>
        <v>1.1869135024256248</v>
      </c>
      <c r="I11" s="238">
        <f t="shared" si="3"/>
        <v>1.0957904385927506</v>
      </c>
      <c r="J11" s="238">
        <f t="shared" si="3"/>
        <v>1.1959997424880848</v>
      </c>
      <c r="K11" s="238">
        <f t="shared" si="3"/>
        <v>1.2233691880019983</v>
      </c>
      <c r="L11" s="238">
        <f t="shared" si="3"/>
        <v>1.2461449859210376</v>
      </c>
      <c r="M11" s="238">
        <f t="shared" si="3"/>
        <v>1.2693448070833759</v>
      </c>
      <c r="N11" s="238">
        <f t="shared" si="3"/>
        <v>1.2929765456454114</v>
      </c>
      <c r="O11" s="238">
        <f t="shared" si="3"/>
        <v>1.3170482427312049</v>
      </c>
      <c r="P11" s="238">
        <f t="shared" si="3"/>
        <v>1.3415680891686179</v>
      </c>
      <c r="Q11" s="238">
        <f t="shared" si="3"/>
        <v>1.3908807824062128</v>
      </c>
      <c r="R11" s="238">
        <f t="shared" si="3"/>
        <v>1.4420060871198694</v>
      </c>
      <c r="S11" s="238">
        <f t="shared" si="3"/>
        <v>1.4950106303815938</v>
      </c>
      <c r="T11" s="238">
        <f t="shared" si="3"/>
        <v>1.5499634883081994</v>
      </c>
      <c r="U11" s="238">
        <f t="shared" si="3"/>
        <v>1.6069362760820805</v>
      </c>
      <c r="V11" s="238">
        <f t="shared" si="3"/>
        <v>1.6962105136421961</v>
      </c>
      <c r="W11" s="238">
        <f t="shared" si="3"/>
        <v>1.7904444310667627</v>
      </c>
      <c r="X11" s="15" t="s">
        <v>443</v>
      </c>
    </row>
    <row r="13" spans="1:24" x14ac:dyDescent="0.35">
      <c r="A13" s="17" t="s">
        <v>260</v>
      </c>
      <c r="C13" s="8">
        <v>0.08</v>
      </c>
      <c r="D13" s="84" t="s">
        <v>429</v>
      </c>
    </row>
    <row r="15" spans="1:24" x14ac:dyDescent="0.35">
      <c r="A15" s="48" t="s">
        <v>261</v>
      </c>
      <c r="B15" s="49"/>
      <c r="C15" s="49"/>
      <c r="D15" s="49"/>
      <c r="E15" s="49"/>
      <c r="F15" s="49"/>
      <c r="G15" s="49"/>
      <c r="H15" s="49"/>
      <c r="I15" s="49"/>
      <c r="J15" s="49"/>
      <c r="K15" s="49"/>
      <c r="L15" s="49"/>
      <c r="M15" s="49"/>
      <c r="N15" s="49"/>
      <c r="O15" s="49"/>
      <c r="P15" s="49"/>
      <c r="Q15" s="49"/>
      <c r="R15" s="49"/>
      <c r="S15" s="49"/>
      <c r="T15" s="49"/>
      <c r="U15" s="49"/>
      <c r="V15" s="49"/>
      <c r="W15" s="49"/>
    </row>
    <row r="17" spans="1:24" x14ac:dyDescent="0.35">
      <c r="A17" s="29" t="s">
        <v>172</v>
      </c>
      <c r="B17" s="29" t="s">
        <v>22</v>
      </c>
      <c r="C17" s="196"/>
      <c r="D17" s="195" cm="1">
        <f t="array" ref="D17:W17">years</f>
        <v>2018</v>
      </c>
      <c r="E17" s="52">
        <v>2019</v>
      </c>
      <c r="F17" s="52">
        <v>2020</v>
      </c>
      <c r="G17" s="52">
        <v>2021</v>
      </c>
      <c r="H17" s="52">
        <v>2022</v>
      </c>
      <c r="I17" s="52">
        <v>2023</v>
      </c>
      <c r="J17" s="52">
        <v>2024</v>
      </c>
      <c r="K17" s="52">
        <v>2025</v>
      </c>
      <c r="L17" s="52">
        <v>2026</v>
      </c>
      <c r="M17" s="52">
        <v>2027</v>
      </c>
      <c r="N17" s="52">
        <v>2028</v>
      </c>
      <c r="O17" s="52">
        <v>2029</v>
      </c>
      <c r="P17" s="52">
        <v>2030</v>
      </c>
      <c r="Q17" s="52">
        <v>2031</v>
      </c>
      <c r="R17" s="52">
        <v>2032</v>
      </c>
      <c r="S17" s="52">
        <v>2033</v>
      </c>
      <c r="T17" s="52">
        <v>2034</v>
      </c>
      <c r="U17" s="52">
        <v>2035</v>
      </c>
      <c r="V17" s="52">
        <v>2036</v>
      </c>
      <c r="W17" s="52">
        <v>2037</v>
      </c>
    </row>
    <row r="18" spans="1:24" x14ac:dyDescent="0.35">
      <c r="A18" s="17" t="str" cm="1">
        <f t="array" ref="A18:A33">core_elements</f>
        <v>Application server hardware</v>
      </c>
      <c r="B18" s="17"/>
      <c r="C18" s="17"/>
      <c r="D18" s="169">
        <v>15071624.458001591</v>
      </c>
      <c r="E18" s="74">
        <f>$D18*E$5</f>
        <v>15466301.597175673</v>
      </c>
      <c r="F18" s="74">
        <f t="shared" ref="F18:L18" si="4">$D18*F$5</f>
        <v>17779847.735519852</v>
      </c>
      <c r="G18" s="74">
        <f t="shared" si="4"/>
        <v>16392362.715969959</v>
      </c>
      <c r="H18" s="74">
        <f t="shared" si="4"/>
        <v>15971022.522426847</v>
      </c>
      <c r="I18" s="74">
        <f t="shared" si="4"/>
        <v>18337078.795815885</v>
      </c>
      <c r="J18" s="74">
        <f t="shared" si="4"/>
        <v>17640702.290699661</v>
      </c>
      <c r="K18" s="74">
        <f t="shared" si="4"/>
        <v>18022113.035116024</v>
      </c>
      <c r="L18" s="74">
        <f t="shared" si="4"/>
        <v>18488895.313705739</v>
      </c>
      <c r="M18" s="74">
        <f t="shared" ref="F18:W32" si="5">$D18*M$5</f>
        <v>18967767.500686374</v>
      </c>
      <c r="N18" s="74">
        <f t="shared" si="5"/>
        <v>19459042.731092408</v>
      </c>
      <c r="O18" s="74">
        <f t="shared" si="5"/>
        <v>19963042.250321668</v>
      </c>
      <c r="P18" s="74">
        <f t="shared" si="5"/>
        <v>20480095.624198027</v>
      </c>
      <c r="Q18" s="74">
        <f t="shared" si="5"/>
        <v>20642917.811215445</v>
      </c>
      <c r="R18" s="74">
        <f t="shared" si="5"/>
        <v>20807034.477764189</v>
      </c>
      <c r="S18" s="74">
        <f t="shared" si="5"/>
        <v>20972455.915299546</v>
      </c>
      <c r="T18" s="74">
        <f t="shared" si="5"/>
        <v>21139192.497096594</v>
      </c>
      <c r="U18" s="74">
        <f t="shared" si="5"/>
        <v>21307254.6789007</v>
      </c>
      <c r="V18" s="74">
        <f t="shared" si="5"/>
        <v>21094182.132111695</v>
      </c>
      <c r="W18" s="74">
        <f t="shared" si="5"/>
        <v>20883240.310790576</v>
      </c>
    </row>
    <row r="19" spans="1:24" x14ac:dyDescent="0.35">
      <c r="A19" s="17" t="str">
        <v>Application server software</v>
      </c>
      <c r="B19" s="17"/>
      <c r="C19" s="17"/>
      <c r="D19" s="169">
        <v>0</v>
      </c>
      <c r="E19" s="74">
        <f t="shared" ref="E19:E33" si="6">$D19*E$5</f>
        <v>0</v>
      </c>
      <c r="F19" s="74">
        <f>$D19*F$5</f>
        <v>0</v>
      </c>
      <c r="G19" s="74">
        <f t="shared" si="5"/>
        <v>0</v>
      </c>
      <c r="H19" s="74">
        <f t="shared" si="5"/>
        <v>0</v>
      </c>
      <c r="I19" s="74">
        <f t="shared" si="5"/>
        <v>0</v>
      </c>
      <c r="J19" s="74">
        <f t="shared" si="5"/>
        <v>0</v>
      </c>
      <c r="K19" s="74">
        <f t="shared" si="5"/>
        <v>0</v>
      </c>
      <c r="L19" s="74">
        <f t="shared" si="5"/>
        <v>0</v>
      </c>
      <c r="M19" s="74">
        <f t="shared" si="5"/>
        <v>0</v>
      </c>
      <c r="N19" s="74">
        <f t="shared" si="5"/>
        <v>0</v>
      </c>
      <c r="O19" s="74">
        <f t="shared" si="5"/>
        <v>0</v>
      </c>
      <c r="P19" s="74">
        <f t="shared" si="5"/>
        <v>0</v>
      </c>
      <c r="Q19" s="74">
        <f t="shared" si="5"/>
        <v>0</v>
      </c>
      <c r="R19" s="74">
        <f t="shared" si="5"/>
        <v>0</v>
      </c>
      <c r="S19" s="74">
        <f t="shared" si="5"/>
        <v>0</v>
      </c>
      <c r="T19" s="74">
        <f t="shared" si="5"/>
        <v>0</v>
      </c>
      <c r="U19" s="74">
        <f t="shared" si="5"/>
        <v>0</v>
      </c>
      <c r="V19" s="74">
        <f t="shared" si="5"/>
        <v>0</v>
      </c>
      <c r="W19" s="74">
        <f t="shared" si="5"/>
        <v>0</v>
      </c>
    </row>
    <row r="20" spans="1:24" x14ac:dyDescent="0.35">
      <c r="A20" s="17" t="str">
        <v>Charging data function hardware</v>
      </c>
      <c r="B20" s="17"/>
      <c r="C20" s="17"/>
      <c r="D20" s="169">
        <v>1546375.5497471993</v>
      </c>
      <c r="E20" s="74">
        <f t="shared" si="6"/>
        <v>1586870.1281361233</v>
      </c>
      <c r="F20" s="74">
        <f t="shared" si="5"/>
        <v>1824244.0881572757</v>
      </c>
      <c r="G20" s="74">
        <f t="shared" si="5"/>
        <v>1681885.6505614282</v>
      </c>
      <c r="H20" s="74">
        <f t="shared" si="5"/>
        <v>1638655.3952404822</v>
      </c>
      <c r="I20" s="74">
        <f t="shared" si="5"/>
        <v>1881416.9887694602</v>
      </c>
      <c r="J20" s="74">
        <f t="shared" si="5"/>
        <v>1809967.5173517705</v>
      </c>
      <c r="K20" s="74">
        <f t="shared" si="5"/>
        <v>1849100.9399778377</v>
      </c>
      <c r="L20" s="74">
        <f t="shared" si="5"/>
        <v>1896993.6342708673</v>
      </c>
      <c r="M20" s="74">
        <f t="shared" si="5"/>
        <v>1946126.7747272484</v>
      </c>
      <c r="N20" s="74">
        <f t="shared" si="5"/>
        <v>1996532.4895599976</v>
      </c>
      <c r="O20" s="74">
        <f t="shared" si="5"/>
        <v>2048243.7391198748</v>
      </c>
      <c r="P20" s="74">
        <f t="shared" si="5"/>
        <v>2101294.3374481932</v>
      </c>
      <c r="Q20" s="74">
        <f t="shared" si="5"/>
        <v>2118000.1842307821</v>
      </c>
      <c r="R20" s="74">
        <f t="shared" si="5"/>
        <v>2134838.8469219999</v>
      </c>
      <c r="S20" s="74">
        <f t="shared" si="5"/>
        <v>2151811.3814435126</v>
      </c>
      <c r="T20" s="74">
        <f t="shared" si="5"/>
        <v>2168918.8521118448</v>
      </c>
      <c r="U20" s="74">
        <f t="shared" si="5"/>
        <v>2186162.3317051185</v>
      </c>
      <c r="V20" s="74">
        <f t="shared" si="5"/>
        <v>2164300.7083880673</v>
      </c>
      <c r="W20" s="74">
        <f t="shared" si="5"/>
        <v>2142657.7013041871</v>
      </c>
    </row>
    <row r="21" spans="1:24" x14ac:dyDescent="0.35">
      <c r="A21" s="17" t="str">
        <v>Charging data function software</v>
      </c>
      <c r="B21" s="17"/>
      <c r="C21" s="17"/>
      <c r="D21" s="169">
        <v>1841.3017527999991</v>
      </c>
      <c r="E21" s="74">
        <f t="shared" si="6"/>
        <v>1889.5194953649357</v>
      </c>
      <c r="F21" s="74">
        <f t="shared" si="5"/>
        <v>2172.1656408808021</v>
      </c>
      <c r="G21" s="74">
        <f t="shared" si="5"/>
        <v>2002.6564678251655</v>
      </c>
      <c r="H21" s="74">
        <f t="shared" si="5"/>
        <v>1951.1812974440363</v>
      </c>
      <c r="I21" s="74">
        <f t="shared" si="5"/>
        <v>2240.2426110107845</v>
      </c>
      <c r="J21" s="74">
        <f t="shared" si="5"/>
        <v>2155.1662290287154</v>
      </c>
      <c r="K21" s="74">
        <f t="shared" si="5"/>
        <v>2201.7632149201568</v>
      </c>
      <c r="L21" s="74">
        <f t="shared" si="5"/>
        <v>2258.7900490307234</v>
      </c>
      <c r="M21" s="74">
        <f t="shared" si="5"/>
        <v>2317.2939083666352</v>
      </c>
      <c r="N21" s="74">
        <f t="shared" si="5"/>
        <v>2377.3130486639911</v>
      </c>
      <c r="O21" s="74">
        <f t="shared" si="5"/>
        <v>2438.8867165027291</v>
      </c>
      <c r="P21" s="74">
        <f t="shared" si="5"/>
        <v>2502.0551749700076</v>
      </c>
      <c r="Q21" s="74">
        <f t="shared" si="5"/>
        <v>2521.947176604293</v>
      </c>
      <c r="R21" s="74">
        <f t="shared" si="5"/>
        <v>2541.9973249225432</v>
      </c>
      <c r="S21" s="74">
        <f t="shared" si="5"/>
        <v>2562.2068772328007</v>
      </c>
      <c r="T21" s="74">
        <f t="shared" si="5"/>
        <v>2582.577100839042</v>
      </c>
      <c r="U21" s="74">
        <f t="shared" si="5"/>
        <v>2603.109273120644</v>
      </c>
      <c r="V21" s="74">
        <f t="shared" si="5"/>
        <v>2577.0781803894374</v>
      </c>
      <c r="W21" s="74">
        <f t="shared" si="5"/>
        <v>2551.3073985855431</v>
      </c>
    </row>
    <row r="22" spans="1:24" x14ac:dyDescent="0.35">
      <c r="A22" s="17" t="str">
        <v>Proxy - Call session control function hardware</v>
      </c>
      <c r="B22" s="200"/>
      <c r="C22" s="17"/>
      <c r="D22" s="169">
        <v>5242689.467679197</v>
      </c>
      <c r="E22" s="74">
        <f>$D22*E$5</f>
        <v>5379978.5625904743</v>
      </c>
      <c r="F22" s="74">
        <f t="shared" si="5"/>
        <v>6184749.4090434238</v>
      </c>
      <c r="G22" s="74">
        <f t="shared" si="5"/>
        <v>5702110.4527167873</v>
      </c>
      <c r="H22" s="74">
        <f t="shared" si="5"/>
        <v>5555546.5702929758</v>
      </c>
      <c r="I22" s="74">
        <f t="shared" si="5"/>
        <v>6378583.1539737349</v>
      </c>
      <c r="J22" s="74">
        <f t="shared" si="5"/>
        <v>6136347.4361793064</v>
      </c>
      <c r="K22" s="74">
        <f t="shared" si="5"/>
        <v>6269021.7937565856</v>
      </c>
      <c r="L22" s="74">
        <f t="shared" si="5"/>
        <v>6431392.7805391252</v>
      </c>
      <c r="M22" s="74">
        <f t="shared" si="5"/>
        <v>6597969.2619292913</v>
      </c>
      <c r="N22" s="74">
        <f t="shared" si="5"/>
        <v>6768860.16246616</v>
      </c>
      <c r="O22" s="74">
        <f t="shared" si="5"/>
        <v>6944177.227892098</v>
      </c>
      <c r="P22" s="74">
        <f t="shared" si="5"/>
        <v>7124035.0982234161</v>
      </c>
      <c r="Q22" s="74">
        <f t="shared" si="5"/>
        <v>7180673.0649773916</v>
      </c>
      <c r="R22" s="74">
        <f t="shared" si="5"/>
        <v>7237761.3185749613</v>
      </c>
      <c r="S22" s="74">
        <f t="shared" si="5"/>
        <v>7295303.4389158469</v>
      </c>
      <c r="T22" s="74">
        <f t="shared" si="5"/>
        <v>7353303.0343609238</v>
      </c>
      <c r="U22" s="74">
        <f t="shared" si="5"/>
        <v>7411763.7419584915</v>
      </c>
      <c r="V22" s="74">
        <f t="shared" si="5"/>
        <v>7337646.1045389064</v>
      </c>
      <c r="W22" s="74">
        <f t="shared" si="5"/>
        <v>7264269.6434935173</v>
      </c>
    </row>
    <row r="23" spans="1:24" x14ac:dyDescent="0.35">
      <c r="A23" s="17" t="str">
        <v>Proxy - Call session control function software</v>
      </c>
      <c r="B23" s="200"/>
      <c r="C23" s="17"/>
      <c r="D23" s="169">
        <v>11922.097679999993</v>
      </c>
      <c r="E23" s="74">
        <f t="shared" si="6"/>
        <v>12234.298890852102</v>
      </c>
      <c r="F23" s="74">
        <f t="shared" si="5"/>
        <v>14064.381847429653</v>
      </c>
      <c r="G23" s="74">
        <f t="shared" si="5"/>
        <v>12966.840439155747</v>
      </c>
      <c r="H23" s="74">
        <f t="shared" si="5"/>
        <v>12633.547969062105</v>
      </c>
      <c r="I23" s="74">
        <f t="shared" si="5"/>
        <v>14505.167984961914</v>
      </c>
      <c r="J23" s="74">
        <f t="shared" si="5"/>
        <v>13954.313713135565</v>
      </c>
      <c r="K23" s="74">
        <f t="shared" si="5"/>
        <v>14256.020816029792</v>
      </c>
      <c r="L23" s="74">
        <f t="shared" si="5"/>
        <v>14625.259310270871</v>
      </c>
      <c r="M23" s="74">
        <f t="shared" si="5"/>
        <v>15004.06127719404</v>
      </c>
      <c r="N23" s="74">
        <f t="shared" si="5"/>
        <v>15392.674415810014</v>
      </c>
      <c r="O23" s="74">
        <f t="shared" si="5"/>
        <v>15791.352840665153</v>
      </c>
      <c r="P23" s="74">
        <f t="shared" si="5"/>
        <v>16200.357248007243</v>
      </c>
      <c r="Q23" s="74">
        <f t="shared" si="5"/>
        <v>16329.154380891103</v>
      </c>
      <c r="R23" s="74">
        <f t="shared" si="5"/>
        <v>16458.97548510999</v>
      </c>
      <c r="S23" s="74">
        <f t="shared" si="5"/>
        <v>16589.828701507344</v>
      </c>
      <c r="T23" s="74">
        <f t="shared" si="5"/>
        <v>16721.722235648474</v>
      </c>
      <c r="U23" s="74">
        <f t="shared" si="5"/>
        <v>16854.664358335103</v>
      </c>
      <c r="V23" s="74">
        <f t="shared" si="5"/>
        <v>16686.117714751752</v>
      </c>
      <c r="W23" s="74">
        <f t="shared" si="5"/>
        <v>16519.256537604237</v>
      </c>
    </row>
    <row r="24" spans="1:24" x14ac:dyDescent="0.35">
      <c r="A24" s="17" t="str">
        <v>Interrogating - Call session control function hardware</v>
      </c>
      <c r="B24" s="17"/>
      <c r="C24" s="17"/>
      <c r="D24" s="169">
        <v>0</v>
      </c>
      <c r="E24" s="74">
        <f t="shared" si="6"/>
        <v>0</v>
      </c>
      <c r="F24" s="74">
        <f t="shared" si="5"/>
        <v>0</v>
      </c>
      <c r="G24" s="74">
        <f t="shared" si="5"/>
        <v>0</v>
      </c>
      <c r="H24" s="74">
        <f t="shared" si="5"/>
        <v>0</v>
      </c>
      <c r="I24" s="74">
        <f t="shared" si="5"/>
        <v>0</v>
      </c>
      <c r="J24" s="74">
        <f t="shared" si="5"/>
        <v>0</v>
      </c>
      <c r="K24" s="74">
        <f t="shared" si="5"/>
        <v>0</v>
      </c>
      <c r="L24" s="74">
        <f t="shared" si="5"/>
        <v>0</v>
      </c>
      <c r="M24" s="74">
        <f t="shared" si="5"/>
        <v>0</v>
      </c>
      <c r="N24" s="74">
        <f t="shared" si="5"/>
        <v>0</v>
      </c>
      <c r="O24" s="74">
        <f t="shared" si="5"/>
        <v>0</v>
      </c>
      <c r="P24" s="74">
        <f t="shared" si="5"/>
        <v>0</v>
      </c>
      <c r="Q24" s="74">
        <f t="shared" si="5"/>
        <v>0</v>
      </c>
      <c r="R24" s="74">
        <f t="shared" si="5"/>
        <v>0</v>
      </c>
      <c r="S24" s="74">
        <f t="shared" si="5"/>
        <v>0</v>
      </c>
      <c r="T24" s="74">
        <f t="shared" si="5"/>
        <v>0</v>
      </c>
      <c r="U24" s="74">
        <f t="shared" si="5"/>
        <v>0</v>
      </c>
      <c r="V24" s="74">
        <f t="shared" si="5"/>
        <v>0</v>
      </c>
      <c r="W24" s="74">
        <f t="shared" si="5"/>
        <v>0</v>
      </c>
    </row>
    <row r="25" spans="1:24" x14ac:dyDescent="0.35">
      <c r="A25" s="17" t="str">
        <v>Interrogating - Call session control function software</v>
      </c>
      <c r="B25" s="17"/>
      <c r="C25" s="17"/>
      <c r="D25" s="169">
        <v>2384.4195359999985</v>
      </c>
      <c r="E25" s="74">
        <f t="shared" si="6"/>
        <v>2446.8597781704202</v>
      </c>
      <c r="F25" s="74">
        <f t="shared" si="5"/>
        <v>2812.8763694859304</v>
      </c>
      <c r="G25" s="74">
        <f t="shared" si="5"/>
        <v>2593.3680878311488</v>
      </c>
      <c r="H25" s="74">
        <f t="shared" si="5"/>
        <v>2526.7095938124207</v>
      </c>
      <c r="I25" s="74">
        <f t="shared" si="5"/>
        <v>2901.0335969923826</v>
      </c>
      <c r="J25" s="74">
        <f t="shared" si="5"/>
        <v>2790.8627426271128</v>
      </c>
      <c r="K25" s="74">
        <f t="shared" si="5"/>
        <v>2851.2041632059581</v>
      </c>
      <c r="L25" s="74">
        <f t="shared" si="5"/>
        <v>2925.0518620541739</v>
      </c>
      <c r="M25" s="74">
        <f t="shared" si="5"/>
        <v>3000.8122554388078</v>
      </c>
      <c r="N25" s="74">
        <f t="shared" si="5"/>
        <v>3078.5348831620022</v>
      </c>
      <c r="O25" s="74">
        <f t="shared" si="5"/>
        <v>3158.2705681330303</v>
      </c>
      <c r="P25" s="74">
        <f t="shared" si="5"/>
        <v>3240.0714496014484</v>
      </c>
      <c r="Q25" s="74">
        <f t="shared" si="5"/>
        <v>3265.8308761782205</v>
      </c>
      <c r="R25" s="74">
        <f t="shared" si="5"/>
        <v>3291.7950970219977</v>
      </c>
      <c r="S25" s="74">
        <f t="shared" si="5"/>
        <v>3317.9657403014685</v>
      </c>
      <c r="T25" s="74">
        <f t="shared" si="5"/>
        <v>3344.3444471296943</v>
      </c>
      <c r="U25" s="74">
        <f t="shared" si="5"/>
        <v>3370.9328716670202</v>
      </c>
      <c r="V25" s="74">
        <f t="shared" si="5"/>
        <v>3337.2235429503503</v>
      </c>
      <c r="W25" s="74">
        <f t="shared" si="5"/>
        <v>3303.8513075208471</v>
      </c>
    </row>
    <row r="26" spans="1:24" x14ac:dyDescent="0.35">
      <c r="A26" s="17" t="str">
        <v>Serving - Call session control function hardware</v>
      </c>
      <c r="B26" s="17"/>
      <c r="C26" s="17"/>
      <c r="D26" s="169">
        <v>0</v>
      </c>
      <c r="E26" s="74">
        <f t="shared" si="6"/>
        <v>0</v>
      </c>
      <c r="F26" s="74">
        <f t="shared" si="5"/>
        <v>0</v>
      </c>
      <c r="G26" s="74">
        <f t="shared" si="5"/>
        <v>0</v>
      </c>
      <c r="H26" s="74">
        <f t="shared" si="5"/>
        <v>0</v>
      </c>
      <c r="I26" s="74">
        <f t="shared" si="5"/>
        <v>0</v>
      </c>
      <c r="J26" s="74">
        <f t="shared" si="5"/>
        <v>0</v>
      </c>
      <c r="K26" s="74">
        <f t="shared" si="5"/>
        <v>0</v>
      </c>
      <c r="L26" s="74">
        <f t="shared" si="5"/>
        <v>0</v>
      </c>
      <c r="M26" s="74">
        <f t="shared" si="5"/>
        <v>0</v>
      </c>
      <c r="N26" s="74">
        <f t="shared" si="5"/>
        <v>0</v>
      </c>
      <c r="O26" s="74">
        <f t="shared" si="5"/>
        <v>0</v>
      </c>
      <c r="P26" s="74">
        <f t="shared" si="5"/>
        <v>0</v>
      </c>
      <c r="Q26" s="74">
        <f t="shared" si="5"/>
        <v>0</v>
      </c>
      <c r="R26" s="74">
        <f t="shared" si="5"/>
        <v>0</v>
      </c>
      <c r="S26" s="74">
        <f t="shared" si="5"/>
        <v>0</v>
      </c>
      <c r="T26" s="74">
        <f t="shared" si="5"/>
        <v>0</v>
      </c>
      <c r="U26" s="74">
        <f t="shared" si="5"/>
        <v>0</v>
      </c>
      <c r="V26" s="74">
        <f t="shared" si="5"/>
        <v>0</v>
      </c>
      <c r="W26" s="74">
        <f t="shared" si="5"/>
        <v>0</v>
      </c>
    </row>
    <row r="27" spans="1:24" x14ac:dyDescent="0.35">
      <c r="A27" s="17" t="str">
        <v>Serving - Call session control function software</v>
      </c>
      <c r="B27" s="17"/>
      <c r="C27" s="17"/>
      <c r="D27" s="169">
        <v>11922.097679999993</v>
      </c>
      <c r="E27" s="74">
        <f t="shared" si="6"/>
        <v>12234.298890852102</v>
      </c>
      <c r="F27" s="74">
        <f t="shared" si="5"/>
        <v>14064.381847429653</v>
      </c>
      <c r="G27" s="74">
        <f t="shared" si="5"/>
        <v>12966.840439155747</v>
      </c>
      <c r="H27" s="74">
        <f t="shared" si="5"/>
        <v>12633.547969062105</v>
      </c>
      <c r="I27" s="74">
        <f t="shared" si="5"/>
        <v>14505.167984961914</v>
      </c>
      <c r="J27" s="74">
        <f t="shared" si="5"/>
        <v>13954.313713135565</v>
      </c>
      <c r="K27" s="74">
        <f t="shared" si="5"/>
        <v>14256.020816029792</v>
      </c>
      <c r="L27" s="74">
        <f t="shared" si="5"/>
        <v>14625.259310270871</v>
      </c>
      <c r="M27" s="74">
        <f t="shared" si="5"/>
        <v>15004.06127719404</v>
      </c>
      <c r="N27" s="74">
        <f t="shared" si="5"/>
        <v>15392.674415810014</v>
      </c>
      <c r="O27" s="74">
        <f t="shared" si="5"/>
        <v>15791.352840665153</v>
      </c>
      <c r="P27" s="74">
        <f t="shared" si="5"/>
        <v>16200.357248007243</v>
      </c>
      <c r="Q27" s="74">
        <f t="shared" si="5"/>
        <v>16329.154380891103</v>
      </c>
      <c r="R27" s="74">
        <f t="shared" si="5"/>
        <v>16458.97548510999</v>
      </c>
      <c r="S27" s="74">
        <f t="shared" si="5"/>
        <v>16589.828701507344</v>
      </c>
      <c r="T27" s="74">
        <f t="shared" si="5"/>
        <v>16721.722235648474</v>
      </c>
      <c r="U27" s="74">
        <f t="shared" si="5"/>
        <v>16854.664358335103</v>
      </c>
      <c r="V27" s="74">
        <f t="shared" si="5"/>
        <v>16686.117714751752</v>
      </c>
      <c r="W27" s="74">
        <f t="shared" si="5"/>
        <v>16519.256537604237</v>
      </c>
    </row>
    <row r="28" spans="1:24" x14ac:dyDescent="0.35">
      <c r="A28" s="17" t="str">
        <v>Media resource function - hardware</v>
      </c>
      <c r="B28" s="17"/>
      <c r="C28" s="17"/>
      <c r="D28" s="169">
        <v>1192209.7679999995</v>
      </c>
      <c r="E28" s="74">
        <f t="shared" si="6"/>
        <v>1223429.8890852102</v>
      </c>
      <c r="F28" s="74">
        <f t="shared" si="5"/>
        <v>1406438.1847429655</v>
      </c>
      <c r="G28" s="74">
        <f t="shared" si="5"/>
        <v>1296684.0439155747</v>
      </c>
      <c r="H28" s="74">
        <f t="shared" si="5"/>
        <v>1263354.7969062107</v>
      </c>
      <c r="I28" s="74">
        <f t="shared" si="5"/>
        <v>1450516.7984961916</v>
      </c>
      <c r="J28" s="74">
        <f t="shared" si="5"/>
        <v>1395431.3713135568</v>
      </c>
      <c r="K28" s="74">
        <f t="shared" si="5"/>
        <v>1425602.0816029792</v>
      </c>
      <c r="L28" s="74">
        <f t="shared" si="5"/>
        <v>1462525.9310270872</v>
      </c>
      <c r="M28" s="74">
        <f t="shared" si="5"/>
        <v>1500406.1277194042</v>
      </c>
      <c r="N28" s="74">
        <f t="shared" si="5"/>
        <v>1539267.4415810015</v>
      </c>
      <c r="O28" s="74">
        <f t="shared" si="5"/>
        <v>1579135.2840665153</v>
      </c>
      <c r="P28" s="74">
        <f t="shared" si="5"/>
        <v>1620035.7248007245</v>
      </c>
      <c r="Q28" s="74">
        <f t="shared" si="5"/>
        <v>1632915.4380891104</v>
      </c>
      <c r="R28" s="74">
        <f t="shared" si="5"/>
        <v>1645897.5485109992</v>
      </c>
      <c r="S28" s="74">
        <f t="shared" si="5"/>
        <v>1658982.8701507344</v>
      </c>
      <c r="T28" s="74">
        <f t="shared" si="5"/>
        <v>1672172.2235648474</v>
      </c>
      <c r="U28" s="74">
        <f t="shared" si="5"/>
        <v>1685466.4358335105</v>
      </c>
      <c r="V28" s="74">
        <f t="shared" si="5"/>
        <v>1668611.7714751754</v>
      </c>
      <c r="W28" s="74">
        <f t="shared" si="5"/>
        <v>1651925.6537604237</v>
      </c>
    </row>
    <row r="29" spans="1:24" x14ac:dyDescent="0.35">
      <c r="A29" s="17" t="str">
        <v>Media resource function - software</v>
      </c>
      <c r="B29" s="17"/>
      <c r="C29" s="17"/>
      <c r="D29" s="169">
        <v>198.70162799999989</v>
      </c>
      <c r="E29" s="74">
        <f t="shared" si="6"/>
        <v>203.90498151420169</v>
      </c>
      <c r="F29" s="74">
        <f t="shared" si="5"/>
        <v>234.40636412382756</v>
      </c>
      <c r="G29" s="74">
        <f t="shared" si="5"/>
        <v>216.11400731926244</v>
      </c>
      <c r="H29" s="74">
        <f t="shared" si="5"/>
        <v>210.55913281770174</v>
      </c>
      <c r="I29" s="74">
        <f t="shared" si="5"/>
        <v>241.75279974936521</v>
      </c>
      <c r="J29" s="74">
        <f t="shared" si="5"/>
        <v>232.5718952189261</v>
      </c>
      <c r="K29" s="74">
        <f t="shared" si="5"/>
        <v>237.60034693382985</v>
      </c>
      <c r="L29" s="74">
        <f t="shared" si="5"/>
        <v>243.75432183784784</v>
      </c>
      <c r="M29" s="74">
        <f t="shared" si="5"/>
        <v>250.06768795323399</v>
      </c>
      <c r="N29" s="74">
        <f t="shared" si="5"/>
        <v>256.54457359683352</v>
      </c>
      <c r="O29" s="74">
        <f t="shared" si="5"/>
        <v>263.18921401108588</v>
      </c>
      <c r="P29" s="74">
        <f t="shared" si="5"/>
        <v>270.00595413345405</v>
      </c>
      <c r="Q29" s="74">
        <f t="shared" si="5"/>
        <v>272.15257301485173</v>
      </c>
      <c r="R29" s="74">
        <f t="shared" si="5"/>
        <v>274.31625808516651</v>
      </c>
      <c r="S29" s="74">
        <f t="shared" si="5"/>
        <v>276.49714502512239</v>
      </c>
      <c r="T29" s="74">
        <f t="shared" si="5"/>
        <v>278.6953705941412</v>
      </c>
      <c r="U29" s="74">
        <f t="shared" si="5"/>
        <v>280.91107263891837</v>
      </c>
      <c r="V29" s="74">
        <f t="shared" si="5"/>
        <v>278.10196191252919</v>
      </c>
      <c r="W29" s="74">
        <f t="shared" si="5"/>
        <v>275.3209422934039</v>
      </c>
      <c r="X29" s="15"/>
    </row>
    <row r="30" spans="1:24" x14ac:dyDescent="0.35">
      <c r="A30" s="17" t="str">
        <v>Access session border controller - hardware</v>
      </c>
      <c r="B30" s="17"/>
      <c r="C30" s="17"/>
      <c r="D30" s="169">
        <v>1823676</v>
      </c>
      <c r="E30" s="74">
        <f t="shared" si="6"/>
        <v>1871432.1810583931</v>
      </c>
      <c r="F30" s="74">
        <f t="shared" si="5"/>
        <v>2151372.7129597832</v>
      </c>
      <c r="G30" s="74">
        <f t="shared" si="5"/>
        <v>1983486.1564997518</v>
      </c>
      <c r="H30" s="74">
        <f t="shared" si="5"/>
        <v>1932503.7291614704</v>
      </c>
      <c r="I30" s="74">
        <f t="shared" si="5"/>
        <v>2218798.0202946481</v>
      </c>
      <c r="J30" s="74">
        <f t="shared" si="5"/>
        <v>2134536.0269784527</v>
      </c>
      <c r="K30" s="74">
        <f t="shared" si="5"/>
        <v>2180686.9659613427</v>
      </c>
      <c r="L30" s="74">
        <f t="shared" si="5"/>
        <v>2237167.914054329</v>
      </c>
      <c r="M30" s="74">
        <f t="shared" si="5"/>
        <v>2295111.7486355081</v>
      </c>
      <c r="N30" s="74">
        <f t="shared" si="5"/>
        <v>2354556.3592401934</v>
      </c>
      <c r="O30" s="74">
        <f t="shared" si="5"/>
        <v>2415540.6167627438</v>
      </c>
      <c r="P30" s="74">
        <f t="shared" si="5"/>
        <v>2478104.3988742819</v>
      </c>
      <c r="Q30" s="74">
        <f t="shared" si="5"/>
        <v>2497805.9854921419</v>
      </c>
      <c r="R30" s="74">
        <f t="shared" si="5"/>
        <v>2517664.2049441305</v>
      </c>
      <c r="S30" s="74">
        <f t="shared" si="5"/>
        <v>2537680.3025027825</v>
      </c>
      <c r="T30" s="74">
        <f t="shared" si="5"/>
        <v>2557855.5333408811</v>
      </c>
      <c r="U30" s="74">
        <f t="shared" si="5"/>
        <v>2578191.1626101644</v>
      </c>
      <c r="V30" s="74">
        <f t="shared" si="5"/>
        <v>2552409.2509840629</v>
      </c>
      <c r="W30" s="74">
        <f t="shared" si="5"/>
        <v>2526885.1584742223</v>
      </c>
      <c r="X30" s="15"/>
    </row>
    <row r="31" spans="1:24" x14ac:dyDescent="0.35">
      <c r="A31" s="17" t="str">
        <v>Access session border controller - software</v>
      </c>
      <c r="B31" s="17"/>
      <c r="C31" s="17"/>
      <c r="D31" s="169">
        <v>3010176</v>
      </c>
      <c r="E31" s="74">
        <f t="shared" si="6"/>
        <v>3089002.7817713395</v>
      </c>
      <c r="F31" s="74">
        <f t="shared" si="5"/>
        <v>3551075.1403245027</v>
      </c>
      <c r="G31" s="74">
        <f t="shared" si="5"/>
        <v>3273960.0809726054</v>
      </c>
      <c r="H31" s="74">
        <f t="shared" si="5"/>
        <v>3189808.0280885193</v>
      </c>
      <c r="I31" s="74">
        <f t="shared" si="5"/>
        <v>3662367.9587484086</v>
      </c>
      <c r="J31" s="74">
        <f t="shared" si="5"/>
        <v>3523284.3550860411</v>
      </c>
      <c r="K31" s="74">
        <f t="shared" si="5"/>
        <v>3599461.5098568224</v>
      </c>
      <c r="L31" s="74">
        <f t="shared" si="5"/>
        <v>3692689.4705289775</v>
      </c>
      <c r="M31" s="74">
        <f t="shared" si="5"/>
        <v>3788332.0847895346</v>
      </c>
      <c r="N31" s="74">
        <f t="shared" si="5"/>
        <v>3886451.893446099</v>
      </c>
      <c r="O31" s="74">
        <f t="shared" si="5"/>
        <v>3987113.0571463401</v>
      </c>
      <c r="P31" s="74">
        <f t="shared" si="5"/>
        <v>4090381.3983327034</v>
      </c>
      <c r="Q31" s="74">
        <f t="shared" si="5"/>
        <v>4122901.0143165751</v>
      </c>
      <c r="R31" s="74">
        <f t="shared" si="5"/>
        <v>4155679.1698645498</v>
      </c>
      <c r="S31" s="74">
        <f t="shared" si="5"/>
        <v>4188717.9204346691</v>
      </c>
      <c r="T31" s="74">
        <f t="shared" si="5"/>
        <v>4222019.3378264122</v>
      </c>
      <c r="U31" s="74">
        <f t="shared" si="5"/>
        <v>4255585.5103106117</v>
      </c>
      <c r="V31" s="74">
        <f t="shared" si="5"/>
        <v>4213029.6552075054</v>
      </c>
      <c r="W31" s="74">
        <f t="shared" si="5"/>
        <v>4170899.3586554304</v>
      </c>
      <c r="X31" s="15"/>
    </row>
    <row r="32" spans="1:24" x14ac:dyDescent="0.35">
      <c r="A32" s="17" t="str">
        <v>Internet exchange point session border controller - hardware</v>
      </c>
      <c r="B32" s="17"/>
      <c r="C32" s="17"/>
      <c r="D32" s="169">
        <v>1823676</v>
      </c>
      <c r="E32" s="74">
        <f t="shared" si="6"/>
        <v>1871432.1810583931</v>
      </c>
      <c r="F32" s="74">
        <f t="shared" si="5"/>
        <v>2151372.7129597832</v>
      </c>
      <c r="G32" s="74">
        <f t="shared" si="5"/>
        <v>1983486.1564997518</v>
      </c>
      <c r="H32" s="74">
        <f t="shared" si="5"/>
        <v>1932503.7291614704</v>
      </c>
      <c r="I32" s="74">
        <f t="shared" ref="I32:W33" si="7">$D32*I$5</f>
        <v>2218798.0202946481</v>
      </c>
      <c r="J32" s="74">
        <f t="shared" si="7"/>
        <v>2134536.0269784527</v>
      </c>
      <c r="K32" s="74">
        <f t="shared" si="7"/>
        <v>2180686.9659613427</v>
      </c>
      <c r="L32" s="74">
        <f t="shared" si="7"/>
        <v>2237167.914054329</v>
      </c>
      <c r="M32" s="74">
        <f t="shared" si="7"/>
        <v>2295111.7486355081</v>
      </c>
      <c r="N32" s="74">
        <f t="shared" si="7"/>
        <v>2354556.3592401934</v>
      </c>
      <c r="O32" s="74">
        <f t="shared" si="7"/>
        <v>2415540.6167627438</v>
      </c>
      <c r="P32" s="74">
        <f t="shared" si="7"/>
        <v>2478104.3988742819</v>
      </c>
      <c r="Q32" s="74">
        <f t="shared" si="7"/>
        <v>2497805.9854921419</v>
      </c>
      <c r="R32" s="74">
        <f t="shared" si="7"/>
        <v>2517664.2049441305</v>
      </c>
      <c r="S32" s="74">
        <f t="shared" si="7"/>
        <v>2537680.3025027825</v>
      </c>
      <c r="T32" s="74">
        <f t="shared" si="7"/>
        <v>2557855.5333408811</v>
      </c>
      <c r="U32" s="74">
        <f t="shared" si="7"/>
        <v>2578191.1626101644</v>
      </c>
      <c r="V32" s="74">
        <f t="shared" si="7"/>
        <v>2552409.2509840629</v>
      </c>
      <c r="W32" s="74">
        <f t="shared" si="7"/>
        <v>2526885.1584742223</v>
      </c>
    </row>
    <row r="33" spans="1:24" x14ac:dyDescent="0.35">
      <c r="A33" s="17" t="str">
        <v>Internet exchange point session border controller - software</v>
      </c>
      <c r="B33" s="17"/>
      <c r="C33" s="17"/>
      <c r="D33" s="169">
        <v>3010176</v>
      </c>
      <c r="E33" s="74">
        <f t="shared" si="6"/>
        <v>3089002.7817713395</v>
      </c>
      <c r="F33" s="74">
        <f t="shared" ref="F33:H33" si="8">$D33*F$5</f>
        <v>3551075.1403245027</v>
      </c>
      <c r="G33" s="74">
        <f t="shared" si="8"/>
        <v>3273960.0809726054</v>
      </c>
      <c r="H33" s="74">
        <f t="shared" si="8"/>
        <v>3189808.0280885193</v>
      </c>
      <c r="I33" s="74">
        <f t="shared" si="7"/>
        <v>3662367.9587484086</v>
      </c>
      <c r="J33" s="74">
        <f t="shared" si="7"/>
        <v>3523284.3550860411</v>
      </c>
      <c r="K33" s="74">
        <f t="shared" si="7"/>
        <v>3599461.5098568224</v>
      </c>
      <c r="L33" s="74">
        <f t="shared" si="7"/>
        <v>3692689.4705289775</v>
      </c>
      <c r="M33" s="74">
        <f t="shared" si="7"/>
        <v>3788332.0847895346</v>
      </c>
      <c r="N33" s="74">
        <f t="shared" si="7"/>
        <v>3886451.893446099</v>
      </c>
      <c r="O33" s="74">
        <f t="shared" si="7"/>
        <v>3987113.0571463401</v>
      </c>
      <c r="P33" s="74">
        <f t="shared" si="7"/>
        <v>4090381.3983327034</v>
      </c>
      <c r="Q33" s="74">
        <f t="shared" si="7"/>
        <v>4122901.0143165751</v>
      </c>
      <c r="R33" s="74">
        <f t="shared" si="7"/>
        <v>4155679.1698645498</v>
      </c>
      <c r="S33" s="74">
        <f t="shared" si="7"/>
        <v>4188717.9204346691</v>
      </c>
      <c r="T33" s="74">
        <f t="shared" si="7"/>
        <v>4222019.3378264122</v>
      </c>
      <c r="U33" s="74">
        <f t="shared" si="7"/>
        <v>4255585.5103106117</v>
      </c>
      <c r="V33" s="74">
        <f t="shared" si="7"/>
        <v>4213029.6552075054</v>
      </c>
      <c r="W33" s="74">
        <f t="shared" si="7"/>
        <v>4170899.3586554304</v>
      </c>
      <c r="X33" s="6" t="s">
        <v>262</v>
      </c>
    </row>
    <row r="34" spans="1:24" x14ac:dyDescent="0.35">
      <c r="D34" s="84"/>
      <c r="E34" s="23"/>
    </row>
    <row r="35" spans="1:24" x14ac:dyDescent="0.35">
      <c r="A35" s="14" t="s">
        <v>391</v>
      </c>
      <c r="B35" s="17"/>
      <c r="C35" s="17"/>
      <c r="D35" s="16">
        <f>SUM(D18:D33)</f>
        <v>32748871.861704782</v>
      </c>
      <c r="E35" s="16">
        <f t="shared" ref="E35:W35" si="9">SUM(E18:E33)</f>
        <v>33606458.984683692</v>
      </c>
      <c r="F35" s="16">
        <f t="shared" si="9"/>
        <v>38633523.336101443</v>
      </c>
      <c r="G35" s="16">
        <f t="shared" si="9"/>
        <v>35618681.157549746</v>
      </c>
      <c r="H35" s="16">
        <f t="shared" si="9"/>
        <v>34703158.345328696</v>
      </c>
      <c r="I35" s="16">
        <f t="shared" si="9"/>
        <v>39844321.060119063</v>
      </c>
      <c r="J35" s="16">
        <f t="shared" si="9"/>
        <v>38331176.60796643</v>
      </c>
      <c r="K35" s="16">
        <f t="shared" si="9"/>
        <v>39159937.411446869</v>
      </c>
      <c r="L35" s="16">
        <f t="shared" si="9"/>
        <v>40174200.543562897</v>
      </c>
      <c r="M35" s="16">
        <f t="shared" si="9"/>
        <v>41214733.628318556</v>
      </c>
      <c r="N35" s="16">
        <f t="shared" si="9"/>
        <v>42282217.071409196</v>
      </c>
      <c r="O35" s="16">
        <f t="shared" si="9"/>
        <v>43377348.901398301</v>
      </c>
      <c r="P35" s="16">
        <f t="shared" si="9"/>
        <v>44500845.226159051</v>
      </c>
      <c r="Q35" s="16">
        <f t="shared" si="9"/>
        <v>44854638.737517744</v>
      </c>
      <c r="R35" s="16">
        <f t="shared" si="9"/>
        <v>45211245.001039758</v>
      </c>
      <c r="S35" s="16">
        <f t="shared" si="9"/>
        <v>45570686.378850117</v>
      </c>
      <c r="T35" s="16">
        <f t="shared" si="9"/>
        <v>45932985.410858661</v>
      </c>
      <c r="U35" s="16">
        <f t="shared" si="9"/>
        <v>46298164.816173472</v>
      </c>
      <c r="V35" s="16">
        <f t="shared" si="9"/>
        <v>45835183.16801174</v>
      </c>
      <c r="W35" s="16">
        <f t="shared" si="9"/>
        <v>45376831.336331621</v>
      </c>
      <c r="X35" s="15" t="s">
        <v>393</v>
      </c>
    </row>
    <row r="36" spans="1:24" x14ac:dyDescent="0.35">
      <c r="D36" s="84"/>
      <c r="E36" s="23"/>
    </row>
    <row r="37" spans="1:24" x14ac:dyDescent="0.35">
      <c r="C37"/>
    </row>
    <row r="38" spans="1:24" x14ac:dyDescent="0.35">
      <c r="A38" s="48" t="s">
        <v>263</v>
      </c>
      <c r="B38" s="49"/>
      <c r="C38" s="49"/>
      <c r="D38" s="49"/>
      <c r="E38" s="49"/>
      <c r="F38" s="49"/>
      <c r="G38" s="49"/>
      <c r="H38" s="49"/>
      <c r="I38" s="49"/>
      <c r="J38" s="49"/>
      <c r="K38" s="49"/>
      <c r="L38" s="49"/>
      <c r="M38" s="49"/>
      <c r="N38" s="49"/>
      <c r="O38" s="49"/>
      <c r="P38" s="49"/>
      <c r="Q38" s="49"/>
      <c r="R38" s="49"/>
      <c r="S38" s="49"/>
      <c r="T38" s="49"/>
      <c r="U38" s="49"/>
      <c r="V38" s="49"/>
      <c r="W38" s="49"/>
    </row>
    <row r="40" spans="1:24" x14ac:dyDescent="0.35">
      <c r="A40" s="196"/>
      <c r="B40" s="197"/>
      <c r="C40" s="196"/>
      <c r="D40" s="52" cm="1">
        <f t="array" ref="D40:W40">years</f>
        <v>2018</v>
      </c>
      <c r="E40" s="52">
        <v>2019</v>
      </c>
      <c r="F40" s="52">
        <v>2020</v>
      </c>
      <c r="G40" s="52">
        <v>2021</v>
      </c>
      <c r="H40" s="52">
        <v>2022</v>
      </c>
      <c r="I40" s="52">
        <v>2023</v>
      </c>
      <c r="J40" s="52">
        <v>2024</v>
      </c>
      <c r="K40" s="52">
        <v>2025</v>
      </c>
      <c r="L40" s="52">
        <v>2026</v>
      </c>
      <c r="M40" s="52">
        <v>2027</v>
      </c>
      <c r="N40" s="52">
        <v>2028</v>
      </c>
      <c r="O40" s="52">
        <v>2029</v>
      </c>
      <c r="P40" s="52">
        <v>2030</v>
      </c>
      <c r="Q40" s="52">
        <v>2031</v>
      </c>
      <c r="R40" s="52">
        <v>2032</v>
      </c>
      <c r="S40" s="52">
        <v>2033</v>
      </c>
      <c r="T40" s="52">
        <v>2034</v>
      </c>
      <c r="U40" s="52">
        <v>2035</v>
      </c>
      <c r="V40" s="52">
        <v>2036</v>
      </c>
      <c r="W40" s="52">
        <v>2037</v>
      </c>
    </row>
    <row r="41" spans="1:24" x14ac:dyDescent="0.35">
      <c r="A41" s="7" t="str" cm="1">
        <f t="array" ref="A41:A56">core_elements</f>
        <v>Application server hardware</v>
      </c>
      <c r="B41" s="94"/>
      <c r="C41" s="17"/>
      <c r="D41" s="171" cm="1">
        <f t="array" ref="D41:W56">$C$13*unit_costs_core_capex*opex_factor_index</f>
        <v>1262399.2646022132</v>
      </c>
      <c r="E41" s="171">
        <v>1314157.6344509039</v>
      </c>
      <c r="F41" s="171">
        <v>1357524.8363877835</v>
      </c>
      <c r="G41" s="171">
        <v>1418613.4540252336</v>
      </c>
      <c r="H41" s="171">
        <v>1516497.7823529749</v>
      </c>
      <c r="I41" s="171">
        <v>1607487.6492941533</v>
      </c>
      <c r="J41" s="171">
        <v>1687862.0317588609</v>
      </c>
      <c r="K41" s="172">
        <v>1763815.8231880097</v>
      </c>
      <c r="L41" s="172">
        <v>1843187.5352314701</v>
      </c>
      <c r="M41" s="172">
        <v>1926130.9743168859</v>
      </c>
      <c r="N41" s="172">
        <v>2012806.8681611451</v>
      </c>
      <c r="O41" s="172">
        <v>2103383.1772283963</v>
      </c>
      <c r="P41" s="172">
        <v>2198035.4202036737</v>
      </c>
      <c r="Q41" s="172">
        <v>2296947.0141128385</v>
      </c>
      <c r="R41" s="172">
        <v>2400309.6297479165</v>
      </c>
      <c r="S41" s="172">
        <v>2508323.563086573</v>
      </c>
      <c r="T41" s="172">
        <v>2621198.1234254683</v>
      </c>
      <c r="U41" s="172">
        <v>2739152.0389796142</v>
      </c>
      <c r="V41" s="172">
        <v>2862413.8807336972</v>
      </c>
      <c r="W41" s="172">
        <v>2991222.5053667133</v>
      </c>
    </row>
    <row r="42" spans="1:24" x14ac:dyDescent="0.35">
      <c r="A42" s="7" t="str">
        <v>Application server software</v>
      </c>
      <c r="B42" s="94"/>
      <c r="C42" s="17"/>
      <c r="D42" s="171">
        <v>0</v>
      </c>
      <c r="E42" s="171">
        <v>0</v>
      </c>
      <c r="F42" s="171">
        <v>0</v>
      </c>
      <c r="G42" s="171">
        <v>0</v>
      </c>
      <c r="H42" s="171">
        <v>0</v>
      </c>
      <c r="I42" s="171">
        <v>0</v>
      </c>
      <c r="J42" s="171">
        <v>0</v>
      </c>
      <c r="K42" s="172">
        <v>0</v>
      </c>
      <c r="L42" s="172">
        <v>0</v>
      </c>
      <c r="M42" s="172">
        <v>0</v>
      </c>
      <c r="N42" s="172">
        <v>0</v>
      </c>
      <c r="O42" s="172">
        <v>0</v>
      </c>
      <c r="P42" s="172">
        <v>0</v>
      </c>
      <c r="Q42" s="172">
        <v>0</v>
      </c>
      <c r="R42" s="172">
        <v>0</v>
      </c>
      <c r="S42" s="172">
        <v>0</v>
      </c>
      <c r="T42" s="172">
        <v>0</v>
      </c>
      <c r="U42" s="172">
        <v>0</v>
      </c>
      <c r="V42" s="172">
        <v>0</v>
      </c>
      <c r="W42" s="172">
        <v>0</v>
      </c>
    </row>
    <row r="43" spans="1:24" x14ac:dyDescent="0.35">
      <c r="A43" s="7" t="str">
        <v>Charging data function hardware</v>
      </c>
      <c r="B43" s="94"/>
      <c r="C43" s="17"/>
      <c r="D43" s="171">
        <v>129524.41604682541</v>
      </c>
      <c r="E43" s="171">
        <v>134834.91710474523</v>
      </c>
      <c r="F43" s="171">
        <v>139284.46936920183</v>
      </c>
      <c r="G43" s="171">
        <v>145552.27049081589</v>
      </c>
      <c r="H43" s="171">
        <v>155595.37715468218</v>
      </c>
      <c r="I43" s="171">
        <v>164931.09978396312</v>
      </c>
      <c r="J43" s="171">
        <v>173177.65477316125</v>
      </c>
      <c r="K43" s="172">
        <v>180970.64923795353</v>
      </c>
      <c r="L43" s="172">
        <v>189114.32845366147</v>
      </c>
      <c r="M43" s="172">
        <v>197624.47323407614</v>
      </c>
      <c r="N43" s="172">
        <v>206517.57452960956</v>
      </c>
      <c r="O43" s="172">
        <v>215810.86538344191</v>
      </c>
      <c r="P43" s="172">
        <v>225522.35432569677</v>
      </c>
      <c r="Q43" s="172">
        <v>235670.86027035306</v>
      </c>
      <c r="R43" s="172">
        <v>246276.04898251899</v>
      </c>
      <c r="S43" s="172">
        <v>257358.47118673232</v>
      </c>
      <c r="T43" s="172">
        <v>268939.60239013529</v>
      </c>
      <c r="U43" s="172">
        <v>281041.8844976913</v>
      </c>
      <c r="V43" s="172">
        <v>293688.76930008741</v>
      </c>
      <c r="W43" s="172">
        <v>306904.76391859143</v>
      </c>
    </row>
    <row r="44" spans="1:24" x14ac:dyDescent="0.35">
      <c r="A44" s="7" t="str">
        <v>Charging data function software</v>
      </c>
      <c r="B44" s="94"/>
      <c r="C44" s="17"/>
      <c r="D44" s="171">
        <v>154.2274348145279</v>
      </c>
      <c r="E44" s="171">
        <v>160.55075964192355</v>
      </c>
      <c r="F44" s="171">
        <v>165.84893471010702</v>
      </c>
      <c r="G44" s="171">
        <v>173.31213677206182</v>
      </c>
      <c r="H44" s="171">
        <v>185.27067420933409</v>
      </c>
      <c r="I44" s="171">
        <v>196.38691466189411</v>
      </c>
      <c r="J44" s="171">
        <v>206.20626039498885</v>
      </c>
      <c r="K44" s="172">
        <v>215.48554211276331</v>
      </c>
      <c r="L44" s="172">
        <v>225.18239150783765</v>
      </c>
      <c r="M44" s="172">
        <v>235.31559912569031</v>
      </c>
      <c r="N44" s="172">
        <v>245.90480108634631</v>
      </c>
      <c r="O44" s="172">
        <v>256.97051713523183</v>
      </c>
      <c r="P44" s="172">
        <v>268.53419040631718</v>
      </c>
      <c r="Q44" s="172">
        <v>280.61822897460144</v>
      </c>
      <c r="R44" s="172">
        <v>293.24604927845854</v>
      </c>
      <c r="S44" s="172">
        <v>306.44212149598911</v>
      </c>
      <c r="T44" s="172">
        <v>320.23201696330869</v>
      </c>
      <c r="U44" s="172">
        <v>334.64245772665754</v>
      </c>
      <c r="V44" s="172">
        <v>349.70136832435713</v>
      </c>
      <c r="W44" s="172">
        <v>365.4379298989532</v>
      </c>
    </row>
    <row r="45" spans="1:24" x14ac:dyDescent="0.35">
      <c r="A45" s="7" t="str">
        <v>Proxy - Call session control function hardware</v>
      </c>
      <c r="B45" s="94"/>
      <c r="C45" s="17"/>
      <c r="D45" s="171">
        <v>439127.6698128095</v>
      </c>
      <c r="E45" s="171">
        <v>457131.90427513461</v>
      </c>
      <c r="F45" s="171">
        <v>472217.25711621408</v>
      </c>
      <c r="G45" s="171">
        <v>493467.03368644364</v>
      </c>
      <c r="H45" s="171">
        <v>527516.25901080831</v>
      </c>
      <c r="I45" s="171">
        <v>559167.23455145676</v>
      </c>
      <c r="J45" s="171">
        <v>587125.59627902962</v>
      </c>
      <c r="K45" s="172">
        <v>613546.24811158609</v>
      </c>
      <c r="L45" s="172">
        <v>641155.82927660737</v>
      </c>
      <c r="M45" s="172">
        <v>670007.84159405436</v>
      </c>
      <c r="N45" s="172">
        <v>700158.1944657868</v>
      </c>
      <c r="O45" s="172">
        <v>731665.31321674702</v>
      </c>
      <c r="P45" s="172">
        <v>764590.25231150037</v>
      </c>
      <c r="Q45" s="172">
        <v>798996.81366551784</v>
      </c>
      <c r="R45" s="172">
        <v>834951.67028046609</v>
      </c>
      <c r="S45" s="172">
        <v>872524.49544308707</v>
      </c>
      <c r="T45" s="172">
        <v>911788.09773802594</v>
      </c>
      <c r="U45" s="172">
        <v>952818.56213623716</v>
      </c>
      <c r="V45" s="172">
        <v>995695.39743236778</v>
      </c>
      <c r="W45" s="172">
        <v>1040501.6903168245</v>
      </c>
    </row>
    <row r="46" spans="1:24" x14ac:dyDescent="0.35">
      <c r="A46" s="7" t="str">
        <v>Proxy - Call session control function software</v>
      </c>
      <c r="B46" s="94"/>
      <c r="C46" s="17"/>
      <c r="D46" s="171">
        <v>998.5949016767994</v>
      </c>
      <c r="E46" s="171">
        <v>1039.537292645548</v>
      </c>
      <c r="F46" s="171">
        <v>1073.842023302851</v>
      </c>
      <c r="G46" s="171">
        <v>1122.1649143514792</v>
      </c>
      <c r="H46" s="171">
        <v>1199.5942934417315</v>
      </c>
      <c r="I46" s="171">
        <v>1271.5699510482352</v>
      </c>
      <c r="J46" s="171">
        <v>1335.1484486006468</v>
      </c>
      <c r="K46" s="172">
        <v>1395.2301287876762</v>
      </c>
      <c r="L46" s="172">
        <v>1458.0154845831216</v>
      </c>
      <c r="M46" s="172">
        <v>1523.6261813893616</v>
      </c>
      <c r="N46" s="172">
        <v>1592.1893595518827</v>
      </c>
      <c r="O46" s="172">
        <v>1663.8378807317167</v>
      </c>
      <c r="P46" s="172">
        <v>1738.710585364644</v>
      </c>
      <c r="Q46" s="172">
        <v>1816.9525617060524</v>
      </c>
      <c r="R46" s="172">
        <v>1898.715426982825</v>
      </c>
      <c r="S46" s="172">
        <v>1984.1576211970521</v>
      </c>
      <c r="T46" s="172">
        <v>2073.4447141509195</v>
      </c>
      <c r="U46" s="172">
        <v>2166.74972628771</v>
      </c>
      <c r="V46" s="172">
        <v>2264.2534639706573</v>
      </c>
      <c r="W46" s="172">
        <v>2366.1448698493377</v>
      </c>
    </row>
    <row r="47" spans="1:24" x14ac:dyDescent="0.35">
      <c r="A47" s="7" t="str">
        <v>Interrogating - Call session control function hardware</v>
      </c>
      <c r="B47" s="94"/>
      <c r="C47" s="17"/>
      <c r="D47" s="171">
        <v>0</v>
      </c>
      <c r="E47" s="171">
        <v>0</v>
      </c>
      <c r="F47" s="171">
        <v>0</v>
      </c>
      <c r="G47" s="171">
        <v>0</v>
      </c>
      <c r="H47" s="171">
        <v>0</v>
      </c>
      <c r="I47" s="171">
        <v>0</v>
      </c>
      <c r="J47" s="171">
        <v>0</v>
      </c>
      <c r="K47" s="172">
        <v>0</v>
      </c>
      <c r="L47" s="172">
        <v>0</v>
      </c>
      <c r="M47" s="172">
        <v>0</v>
      </c>
      <c r="N47" s="172">
        <v>0</v>
      </c>
      <c r="O47" s="172">
        <v>0</v>
      </c>
      <c r="P47" s="172">
        <v>0</v>
      </c>
      <c r="Q47" s="172">
        <v>0</v>
      </c>
      <c r="R47" s="172">
        <v>0</v>
      </c>
      <c r="S47" s="172">
        <v>0</v>
      </c>
      <c r="T47" s="172">
        <v>0</v>
      </c>
      <c r="U47" s="172">
        <v>0</v>
      </c>
      <c r="V47" s="172">
        <v>0</v>
      </c>
      <c r="W47" s="172">
        <v>0</v>
      </c>
    </row>
    <row r="48" spans="1:24" x14ac:dyDescent="0.35">
      <c r="A48" s="7" t="str">
        <v>Interrogating - Call session control function software</v>
      </c>
      <c r="B48" s="94"/>
      <c r="C48" s="17"/>
      <c r="D48" s="171">
        <v>199.71898033535987</v>
      </c>
      <c r="E48" s="171">
        <v>207.90745852910962</v>
      </c>
      <c r="F48" s="171">
        <v>214.76840466057021</v>
      </c>
      <c r="G48" s="171">
        <v>224.4329828702958</v>
      </c>
      <c r="H48" s="171">
        <v>239.91885868834623</v>
      </c>
      <c r="I48" s="171">
        <v>254.31399020964702</v>
      </c>
      <c r="J48" s="171">
        <v>267.02968972012934</v>
      </c>
      <c r="K48" s="172">
        <v>279.04602575753523</v>
      </c>
      <c r="L48" s="172">
        <v>291.60309691662428</v>
      </c>
      <c r="M48" s="172">
        <v>304.72523627787234</v>
      </c>
      <c r="N48" s="172">
        <v>318.43787191037649</v>
      </c>
      <c r="O48" s="172">
        <v>332.76757614634334</v>
      </c>
      <c r="P48" s="172">
        <v>347.74211707292875</v>
      </c>
      <c r="Q48" s="172">
        <v>363.39051234121052</v>
      </c>
      <c r="R48" s="172">
        <v>379.74308539656494</v>
      </c>
      <c r="S48" s="172">
        <v>396.83152423941044</v>
      </c>
      <c r="T48" s="172">
        <v>414.68894283018381</v>
      </c>
      <c r="U48" s="172">
        <v>433.34994525754195</v>
      </c>
      <c r="V48" s="172">
        <v>452.85069279413148</v>
      </c>
      <c r="W48" s="172">
        <v>473.22897396986741</v>
      </c>
    </row>
    <row r="49" spans="1:24" x14ac:dyDescent="0.35">
      <c r="A49" s="7" t="str">
        <v>Serving - Call session control function hardware</v>
      </c>
      <c r="B49" s="94"/>
      <c r="C49" s="17"/>
      <c r="D49" s="171">
        <v>0</v>
      </c>
      <c r="E49" s="171">
        <v>0</v>
      </c>
      <c r="F49" s="171">
        <v>0</v>
      </c>
      <c r="G49" s="171">
        <v>0</v>
      </c>
      <c r="H49" s="171">
        <v>0</v>
      </c>
      <c r="I49" s="171">
        <v>0</v>
      </c>
      <c r="J49" s="171">
        <v>0</v>
      </c>
      <c r="K49" s="172">
        <v>0</v>
      </c>
      <c r="L49" s="172">
        <v>0</v>
      </c>
      <c r="M49" s="172">
        <v>0</v>
      </c>
      <c r="N49" s="172">
        <v>0</v>
      </c>
      <c r="O49" s="172">
        <v>0</v>
      </c>
      <c r="P49" s="172">
        <v>0</v>
      </c>
      <c r="Q49" s="172">
        <v>0</v>
      </c>
      <c r="R49" s="172">
        <v>0</v>
      </c>
      <c r="S49" s="172">
        <v>0</v>
      </c>
      <c r="T49" s="172">
        <v>0</v>
      </c>
      <c r="U49" s="172">
        <v>0</v>
      </c>
      <c r="V49" s="172">
        <v>0</v>
      </c>
      <c r="W49" s="172">
        <v>0</v>
      </c>
    </row>
    <row r="50" spans="1:24" x14ac:dyDescent="0.35">
      <c r="A50" s="7" t="str">
        <v>Serving - Call session control function software</v>
      </c>
      <c r="B50" s="94"/>
      <c r="C50" s="17"/>
      <c r="D50" s="171">
        <v>998.5949016767994</v>
      </c>
      <c r="E50" s="171">
        <v>1039.537292645548</v>
      </c>
      <c r="F50" s="171">
        <v>1073.842023302851</v>
      </c>
      <c r="G50" s="171">
        <v>1122.1649143514792</v>
      </c>
      <c r="H50" s="171">
        <v>1199.5942934417315</v>
      </c>
      <c r="I50" s="171">
        <v>1271.5699510482352</v>
      </c>
      <c r="J50" s="171">
        <v>1335.1484486006468</v>
      </c>
      <c r="K50" s="172">
        <v>1395.2301287876762</v>
      </c>
      <c r="L50" s="172">
        <v>1458.0154845831216</v>
      </c>
      <c r="M50" s="172">
        <v>1523.6261813893616</v>
      </c>
      <c r="N50" s="172">
        <v>1592.1893595518827</v>
      </c>
      <c r="O50" s="172">
        <v>1663.8378807317167</v>
      </c>
      <c r="P50" s="172">
        <v>1738.710585364644</v>
      </c>
      <c r="Q50" s="172">
        <v>1816.9525617060524</v>
      </c>
      <c r="R50" s="172">
        <v>1898.715426982825</v>
      </c>
      <c r="S50" s="172">
        <v>1984.1576211970521</v>
      </c>
      <c r="T50" s="172">
        <v>2073.4447141509195</v>
      </c>
      <c r="U50" s="172">
        <v>2166.74972628771</v>
      </c>
      <c r="V50" s="172">
        <v>2264.2534639706573</v>
      </c>
      <c r="W50" s="172">
        <v>2366.1448698493377</v>
      </c>
    </row>
    <row r="51" spans="1:24" x14ac:dyDescent="0.35">
      <c r="A51" s="7" t="str">
        <v>Media resource function - hardware</v>
      </c>
      <c r="B51" s="94"/>
      <c r="C51" s="17"/>
      <c r="D51" s="171">
        <v>99859.490167679949</v>
      </c>
      <c r="E51" s="171">
        <v>103953.7292645548</v>
      </c>
      <c r="F51" s="171">
        <v>107384.20233028512</v>
      </c>
      <c r="G51" s="171">
        <v>112216.49143514792</v>
      </c>
      <c r="H51" s="171">
        <v>119959.42934417316</v>
      </c>
      <c r="I51" s="171">
        <v>127156.99510482354</v>
      </c>
      <c r="J51" s="171">
        <v>133514.84486006474</v>
      </c>
      <c r="K51" s="172">
        <v>139523.01287876762</v>
      </c>
      <c r="L51" s="172">
        <v>145801.54845831217</v>
      </c>
      <c r="M51" s="172">
        <v>152362.61813893617</v>
      </c>
      <c r="N51" s="172">
        <v>159218.9359551883</v>
      </c>
      <c r="O51" s="172">
        <v>166383.78807317169</v>
      </c>
      <c r="P51" s="172">
        <v>173871.05853646441</v>
      </c>
      <c r="Q51" s="172">
        <v>181695.25617060525</v>
      </c>
      <c r="R51" s="172">
        <v>189871.54269828254</v>
      </c>
      <c r="S51" s="172">
        <v>198415.76211970521</v>
      </c>
      <c r="T51" s="172">
        <v>207344.47141509195</v>
      </c>
      <c r="U51" s="172">
        <v>216674.97262877104</v>
      </c>
      <c r="V51" s="172">
        <v>226425.34639706579</v>
      </c>
      <c r="W51" s="172">
        <v>236614.48698493373</v>
      </c>
    </row>
    <row r="52" spans="1:24" x14ac:dyDescent="0.35">
      <c r="A52" s="7" t="str">
        <v>Media resource function - software</v>
      </c>
      <c r="B52" s="94"/>
      <c r="C52" s="17"/>
      <c r="D52" s="171">
        <v>16.643248361279991</v>
      </c>
      <c r="E52" s="171">
        <v>17.325621544092467</v>
      </c>
      <c r="F52" s="171">
        <v>17.897367055047518</v>
      </c>
      <c r="G52" s="171">
        <v>18.702748572524655</v>
      </c>
      <c r="H52" s="171">
        <v>19.993238224028858</v>
      </c>
      <c r="I52" s="171">
        <v>21.192832517470588</v>
      </c>
      <c r="J52" s="171">
        <v>22.252474143344116</v>
      </c>
      <c r="K52" s="172">
        <v>23.253835479794603</v>
      </c>
      <c r="L52" s="172">
        <v>24.300258076385362</v>
      </c>
      <c r="M52" s="172">
        <v>25.39376968982269</v>
      </c>
      <c r="N52" s="172">
        <v>26.536489325864707</v>
      </c>
      <c r="O52" s="172">
        <v>27.730631345528618</v>
      </c>
      <c r="P52" s="172">
        <v>28.978509756077397</v>
      </c>
      <c r="Q52" s="172">
        <v>30.282542695100876</v>
      </c>
      <c r="R52" s="172">
        <v>31.645257116380421</v>
      </c>
      <c r="S52" s="172">
        <v>33.069293686617534</v>
      </c>
      <c r="T52" s="172">
        <v>34.557411902515319</v>
      </c>
      <c r="U52" s="172">
        <v>36.112495438128505</v>
      </c>
      <c r="V52" s="172">
        <v>37.737557732844287</v>
      </c>
      <c r="W52" s="172">
        <v>39.43574783082228</v>
      </c>
    </row>
    <row r="53" spans="1:24" x14ac:dyDescent="0.35">
      <c r="A53" s="17" t="str">
        <v>Access session border controller - hardware</v>
      </c>
      <c r="B53" s="17"/>
      <c r="C53" s="7"/>
      <c r="D53" s="171">
        <v>152751.10176000002</v>
      </c>
      <c r="E53" s="171">
        <v>159013.89693215996</v>
      </c>
      <c r="F53" s="171">
        <v>164261.35553092125</v>
      </c>
      <c r="G53" s="171">
        <v>171653.11652981269</v>
      </c>
      <c r="H53" s="171">
        <v>183497.18157036978</v>
      </c>
      <c r="I53" s="171">
        <v>194507.01246459194</v>
      </c>
      <c r="J53" s="171">
        <v>204232.36308782152</v>
      </c>
      <c r="K53" s="171">
        <v>213422.81942677355</v>
      </c>
      <c r="L53" s="171">
        <v>223026.84630097833</v>
      </c>
      <c r="M53" s="171">
        <v>233063.05438452229</v>
      </c>
      <c r="N53" s="171">
        <v>243550.89183182572</v>
      </c>
      <c r="O53" s="171">
        <v>254510.68196425782</v>
      </c>
      <c r="P53" s="171">
        <v>265963.66265264933</v>
      </c>
      <c r="Q53" s="171">
        <v>277932.02747201856</v>
      </c>
      <c r="R53" s="171">
        <v>290438.96870825946</v>
      </c>
      <c r="S53" s="171">
        <v>303508.72230013105</v>
      </c>
      <c r="T53" s="171">
        <v>317166.61480363697</v>
      </c>
      <c r="U53" s="171">
        <v>331439.11246980057</v>
      </c>
      <c r="V53" s="171">
        <v>346353.87253094162</v>
      </c>
      <c r="W53" s="171">
        <v>361939.79679483402</v>
      </c>
    </row>
    <row r="54" spans="1:24" x14ac:dyDescent="0.35">
      <c r="A54" s="17" t="str">
        <v>Access session border controller - software</v>
      </c>
      <c r="B54" s="17"/>
      <c r="C54" s="17"/>
      <c r="D54" s="173">
        <v>252132.34176000001</v>
      </c>
      <c r="E54" s="173">
        <v>262469.76777215995</v>
      </c>
      <c r="F54" s="173">
        <v>271131.27010864124</v>
      </c>
      <c r="G54" s="173">
        <v>283332.17726353003</v>
      </c>
      <c r="H54" s="173">
        <v>302882.09749471361</v>
      </c>
      <c r="I54" s="173">
        <v>321055.0233443965</v>
      </c>
      <c r="J54" s="173">
        <v>337107.77451161621</v>
      </c>
      <c r="K54" s="173">
        <v>352277.62436463905</v>
      </c>
      <c r="L54" s="173">
        <v>368130.11746104778</v>
      </c>
      <c r="M54" s="173">
        <v>384695.97274679481</v>
      </c>
      <c r="N54" s="173">
        <v>402007.29152040044</v>
      </c>
      <c r="O54" s="173">
        <v>420097.61963881832</v>
      </c>
      <c r="P54" s="173">
        <v>439002.01252256514</v>
      </c>
      <c r="Q54" s="173">
        <v>458757.10308608052</v>
      </c>
      <c r="R54" s="173">
        <v>479401.1727249542</v>
      </c>
      <c r="S54" s="173">
        <v>500974.22549757705</v>
      </c>
      <c r="T54" s="173">
        <v>523518.06564496801</v>
      </c>
      <c r="U54" s="173">
        <v>547076.37859899155</v>
      </c>
      <c r="V54" s="173">
        <v>571694.81563594623</v>
      </c>
      <c r="W54" s="173">
        <v>597421.08233956376</v>
      </c>
    </row>
    <row r="55" spans="1:24" x14ac:dyDescent="0.35">
      <c r="A55" s="17" t="str">
        <v>Internet exchange point session border controller - hardware</v>
      </c>
      <c r="B55" s="17"/>
      <c r="C55" s="17"/>
      <c r="D55" s="171">
        <v>152751.10176000002</v>
      </c>
      <c r="E55" s="171">
        <v>159013.89693215996</v>
      </c>
      <c r="F55" s="171">
        <v>164261.35553092125</v>
      </c>
      <c r="G55" s="171">
        <v>171653.11652981269</v>
      </c>
      <c r="H55" s="171">
        <v>183497.18157036978</v>
      </c>
      <c r="I55" s="171">
        <v>194507.01246459194</v>
      </c>
      <c r="J55" s="171">
        <v>204232.36308782152</v>
      </c>
      <c r="K55" s="171">
        <v>213422.81942677355</v>
      </c>
      <c r="L55" s="171">
        <v>223026.84630097833</v>
      </c>
      <c r="M55" s="171">
        <v>233063.05438452229</v>
      </c>
      <c r="N55" s="171">
        <v>243550.89183182572</v>
      </c>
      <c r="O55" s="171">
        <v>254510.68196425782</v>
      </c>
      <c r="P55" s="171">
        <v>265963.66265264933</v>
      </c>
      <c r="Q55" s="171">
        <v>277932.02747201856</v>
      </c>
      <c r="R55" s="171">
        <v>290438.96870825946</v>
      </c>
      <c r="S55" s="171">
        <v>303508.72230013105</v>
      </c>
      <c r="T55" s="171">
        <v>317166.61480363697</v>
      </c>
      <c r="U55" s="171">
        <v>331439.11246980057</v>
      </c>
      <c r="V55" s="171">
        <v>346353.87253094162</v>
      </c>
      <c r="W55" s="171">
        <v>361939.79679483402</v>
      </c>
    </row>
    <row r="56" spans="1:24" x14ac:dyDescent="0.35">
      <c r="A56" s="17" t="str">
        <v>Internet exchange point session border controller - software</v>
      </c>
      <c r="B56" s="17"/>
      <c r="C56" s="17"/>
      <c r="D56" s="171">
        <v>252132.34176000001</v>
      </c>
      <c r="E56" s="171">
        <v>262469.76777215995</v>
      </c>
      <c r="F56" s="171">
        <v>271131.27010864124</v>
      </c>
      <c r="G56" s="171">
        <v>283332.17726353003</v>
      </c>
      <c r="H56" s="171">
        <v>302882.09749471361</v>
      </c>
      <c r="I56" s="171">
        <v>321055.0233443965</v>
      </c>
      <c r="J56" s="171">
        <v>337107.77451161621</v>
      </c>
      <c r="K56" s="171">
        <v>352277.62436463905</v>
      </c>
      <c r="L56" s="171">
        <v>368130.11746104778</v>
      </c>
      <c r="M56" s="171">
        <v>384695.97274679481</v>
      </c>
      <c r="N56" s="171">
        <v>402007.29152040044</v>
      </c>
      <c r="O56" s="171">
        <v>420097.61963881832</v>
      </c>
      <c r="P56" s="171">
        <v>439002.01252256514</v>
      </c>
      <c r="Q56" s="171">
        <v>458757.10308608052</v>
      </c>
      <c r="R56" s="171">
        <v>479401.1727249542</v>
      </c>
      <c r="S56" s="171">
        <v>500974.22549757705</v>
      </c>
      <c r="T56" s="171">
        <v>523518.06564496801</v>
      </c>
      <c r="U56" s="171">
        <v>547076.37859899155</v>
      </c>
      <c r="V56" s="171">
        <v>571694.81563594623</v>
      </c>
      <c r="W56" s="171">
        <v>597421.08233956376</v>
      </c>
      <c r="X56" s="6" t="s">
        <v>264</v>
      </c>
    </row>
    <row r="58" spans="1:24" x14ac:dyDescent="0.35">
      <c r="A58" s="14" t="s">
        <v>392</v>
      </c>
      <c r="B58" s="17"/>
      <c r="C58" s="17"/>
      <c r="D58" s="138">
        <f>SUM(D41:D56)</f>
        <v>2743045.5071363929</v>
      </c>
      <c r="E58" s="138">
        <f t="shared" ref="E58:W58" si="10">SUM(E41:E56)</f>
        <v>2855510.3729289849</v>
      </c>
      <c r="F58" s="138">
        <f t="shared" si="10"/>
        <v>2949742.2152356408</v>
      </c>
      <c r="G58" s="138">
        <f t="shared" si="10"/>
        <v>3082480.6149212439</v>
      </c>
      <c r="H58" s="138">
        <f t="shared" si="10"/>
        <v>3295171.7773508099</v>
      </c>
      <c r="I58" s="138">
        <f t="shared" si="10"/>
        <v>3492882.0839918591</v>
      </c>
      <c r="J58" s="138">
        <f t="shared" si="10"/>
        <v>3667526.1881914507</v>
      </c>
      <c r="K58" s="138">
        <f t="shared" si="10"/>
        <v>3832564.8666600673</v>
      </c>
      <c r="L58" s="138">
        <f t="shared" si="10"/>
        <v>4005030.28565977</v>
      </c>
      <c r="M58" s="138">
        <f t="shared" si="10"/>
        <v>4185256.6485144589</v>
      </c>
      <c r="N58" s="138">
        <f t="shared" si="10"/>
        <v>4373593.1976976078</v>
      </c>
      <c r="O58" s="138">
        <f t="shared" si="10"/>
        <v>4570404.8915939992</v>
      </c>
      <c r="P58" s="138">
        <f t="shared" si="10"/>
        <v>4776073.1117157284</v>
      </c>
      <c r="Q58" s="138">
        <f t="shared" si="10"/>
        <v>4990996.4017429352</v>
      </c>
      <c r="R58" s="138">
        <f t="shared" si="10"/>
        <v>5215591.2398213679</v>
      </c>
      <c r="S58" s="138">
        <f t="shared" si="10"/>
        <v>5450292.8456133297</v>
      </c>
      <c r="T58" s="138">
        <f t="shared" si="10"/>
        <v>5695556.0236659301</v>
      </c>
      <c r="U58" s="138">
        <f t="shared" si="10"/>
        <v>5951856.0447308961</v>
      </c>
      <c r="V58" s="138">
        <f t="shared" si="10"/>
        <v>6219689.5667437874</v>
      </c>
      <c r="W58" s="138">
        <f t="shared" si="10"/>
        <v>6499575.597247255</v>
      </c>
      <c r="X58" s="15" t="s">
        <v>394</v>
      </c>
    </row>
  </sheetData>
  <phoneticPr fontId="1" type="noConversion"/>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EAED4-9633-478F-B228-37EE4591F4C0}">
  <sheetPr>
    <tabColor theme="3" tint="0.79998168889431442"/>
  </sheetPr>
  <dimension ref="B2"/>
  <sheetViews>
    <sheetView workbookViewId="0">
      <selection activeCell="B3" sqref="B3"/>
    </sheetView>
  </sheetViews>
  <sheetFormatPr defaultColWidth="9.453125" defaultRowHeight="14.5" x14ac:dyDescent="0.35"/>
  <cols>
    <col min="1" max="16384" width="9.453125" style="12"/>
  </cols>
  <sheetData>
    <row r="2" spans="2:2" x14ac:dyDescent="0.35">
      <c r="B2" s="12" t="s">
        <v>353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74A99-B73C-4573-80FA-03E7D59B8540}">
  <dimension ref="A1:W12"/>
  <sheetViews>
    <sheetView workbookViewId="0">
      <selection activeCell="C9" sqref="C9"/>
    </sheetView>
  </sheetViews>
  <sheetFormatPr defaultColWidth="9.453125" defaultRowHeight="14.5" x14ac:dyDescent="0.35"/>
  <cols>
    <col min="1" max="1" width="34.54296875" style="12" customWidth="1"/>
    <col min="2" max="2" width="9.453125" style="12"/>
    <col min="3" max="22" width="15.54296875" style="12" customWidth="1"/>
    <col min="23" max="16384" width="9.453125" style="12"/>
  </cols>
  <sheetData>
    <row r="1" spans="1:23" ht="18.5" x14ac:dyDescent="0.45">
      <c r="A1" s="50" t="s">
        <v>328</v>
      </c>
      <c r="B1" s="48"/>
      <c r="C1" s="48"/>
      <c r="D1" s="21"/>
    </row>
    <row r="3" spans="1:23" x14ac:dyDescent="0.35">
      <c r="A3" s="12" t="s">
        <v>338</v>
      </c>
    </row>
    <row r="5" spans="1:23" x14ac:dyDescent="0.35">
      <c r="C5" s="198" cm="1">
        <f t="array" ref="C5:V5">years</f>
        <v>2018</v>
      </c>
      <c r="D5" s="198">
        <v>2019</v>
      </c>
      <c r="E5" s="198">
        <v>2020</v>
      </c>
      <c r="F5" s="198">
        <v>2021</v>
      </c>
      <c r="G5" s="198">
        <v>2022</v>
      </c>
      <c r="H5" s="198">
        <v>2023</v>
      </c>
      <c r="I5" s="198">
        <v>2024</v>
      </c>
      <c r="J5" s="198">
        <v>2025</v>
      </c>
      <c r="K5" s="198">
        <v>2026</v>
      </c>
      <c r="L5" s="198">
        <v>2027</v>
      </c>
      <c r="M5" s="198">
        <v>2028</v>
      </c>
      <c r="N5" s="198">
        <v>2029</v>
      </c>
      <c r="O5" s="198">
        <v>2030</v>
      </c>
      <c r="P5" s="198">
        <v>2031</v>
      </c>
      <c r="Q5" s="198">
        <v>2032</v>
      </c>
      <c r="R5" s="198">
        <v>2033</v>
      </c>
      <c r="S5" s="198">
        <v>2034</v>
      </c>
      <c r="T5" s="198">
        <v>2035</v>
      </c>
      <c r="U5" s="198">
        <v>2036</v>
      </c>
      <c r="V5" s="198">
        <v>2037</v>
      </c>
    </row>
    <row r="6" spans="1:23" x14ac:dyDescent="0.35">
      <c r="A6" s="200" t="str">
        <f>'4 Cost - capital'!$A$3</f>
        <v xml:space="preserve">Core network </v>
      </c>
      <c r="B6" s="17"/>
      <c r="C6" s="16"/>
      <c r="D6" s="16"/>
      <c r="E6" s="16"/>
      <c r="F6" s="16"/>
      <c r="G6" s="16"/>
      <c r="H6" s="16"/>
      <c r="I6" s="16"/>
      <c r="J6" s="16"/>
      <c r="K6" s="16"/>
      <c r="L6" s="16"/>
      <c r="M6" s="16"/>
      <c r="N6" s="16"/>
      <c r="O6" s="16"/>
      <c r="P6" s="16"/>
      <c r="Q6" s="16"/>
      <c r="R6" s="16"/>
      <c r="S6" s="16"/>
      <c r="T6" s="16"/>
      <c r="U6" s="16"/>
      <c r="V6" s="16"/>
    </row>
    <row r="7" spans="1:23" x14ac:dyDescent="0.35">
      <c r="A7" s="17" t="s">
        <v>152</v>
      </c>
      <c r="B7" s="16">
        <f>'3 Network demand'!$C$43</f>
        <v>8</v>
      </c>
      <c r="C7" s="16"/>
      <c r="D7" s="16"/>
      <c r="E7" s="16"/>
      <c r="F7" s="16"/>
      <c r="G7" s="16"/>
      <c r="H7" s="16"/>
      <c r="I7" s="16"/>
      <c r="J7" s="16"/>
      <c r="K7" s="16"/>
      <c r="L7" s="16"/>
      <c r="M7" s="16"/>
      <c r="N7" s="16"/>
      <c r="O7" s="16"/>
      <c r="P7" s="16"/>
      <c r="Q7" s="16"/>
      <c r="R7" s="16"/>
      <c r="S7" s="16"/>
      <c r="T7" s="16"/>
      <c r="U7" s="16"/>
      <c r="V7" s="16"/>
    </row>
    <row r="8" spans="1:23" x14ac:dyDescent="0.35">
      <c r="A8" s="17" t="s">
        <v>339</v>
      </c>
      <c r="B8" s="16"/>
      <c r="C8" s="199"/>
      <c r="D8" s="16">
        <f>C12</f>
        <v>180550354.38346052</v>
      </c>
      <c r="E8" s="16">
        <f t="shared" ref="E8:V8" si="0">D12</f>
        <v>157981560.08552796</v>
      </c>
      <c r="F8" s="16">
        <f t="shared" si="0"/>
        <v>138233865.07483697</v>
      </c>
      <c r="G8" s="16">
        <f t="shared" si="0"/>
        <v>120954631.94048235</v>
      </c>
      <c r="H8" s="16">
        <f t="shared" si="0"/>
        <v>105835302.94792205</v>
      </c>
      <c r="I8" s="16">
        <f t="shared" si="0"/>
        <v>92605890.079431802</v>
      </c>
      <c r="J8" s="16">
        <f t="shared" si="0"/>
        <v>81030153.819502831</v>
      </c>
      <c r="K8" s="16">
        <f t="shared" si="0"/>
        <v>70901384.592064977</v>
      </c>
      <c r="L8" s="16">
        <f t="shared" si="0"/>
        <v>184959296.23026216</v>
      </c>
      <c r="M8" s="16">
        <f t="shared" si="0"/>
        <v>161839384.20147938</v>
      </c>
      <c r="N8" s="16">
        <f t="shared" si="0"/>
        <v>141609461.17629445</v>
      </c>
      <c r="O8" s="16">
        <f t="shared" si="0"/>
        <v>123908278.52925764</v>
      </c>
      <c r="P8" s="16">
        <f t="shared" si="0"/>
        <v>108419743.71310043</v>
      </c>
      <c r="Q8" s="16">
        <f t="shared" si="0"/>
        <v>94867275.748962879</v>
      </c>
      <c r="R8" s="16">
        <f t="shared" si="0"/>
        <v>83008866.280342519</v>
      </c>
      <c r="S8" s="16">
        <f t="shared" si="0"/>
        <v>72632757.995299697</v>
      </c>
      <c r="T8" s="16">
        <f t="shared" si="0"/>
        <v>164546458.47122213</v>
      </c>
      <c r="U8" s="16">
        <f t="shared" si="0"/>
        <v>143978151.16231936</v>
      </c>
      <c r="V8" s="16">
        <f t="shared" si="0"/>
        <v>125980882.26702943</v>
      </c>
    </row>
    <row r="9" spans="1:23" x14ac:dyDescent="0.35">
      <c r="A9" s="17" t="s">
        <v>340</v>
      </c>
      <c r="B9" s="16"/>
      <c r="C9" s="199" cm="1">
        <f t="array" ref="C9:V9">core_costs_capex</f>
        <v>206343262.15252632</v>
      </c>
      <c r="D9" s="16">
        <v>0</v>
      </c>
      <c r="E9" s="16">
        <v>0</v>
      </c>
      <c r="F9" s="16">
        <v>0</v>
      </c>
      <c r="G9" s="16">
        <v>0</v>
      </c>
      <c r="H9" s="16">
        <v>0</v>
      </c>
      <c r="I9" s="16">
        <v>0</v>
      </c>
      <c r="J9" s="16">
        <v>0</v>
      </c>
      <c r="K9" s="16">
        <v>140480668.24252036</v>
      </c>
      <c r="L9" s="16">
        <v>0</v>
      </c>
      <c r="M9" s="16">
        <v>0</v>
      </c>
      <c r="N9" s="16">
        <v>0</v>
      </c>
      <c r="O9" s="16">
        <v>0</v>
      </c>
      <c r="P9" s="16">
        <v>0</v>
      </c>
      <c r="Q9" s="16">
        <v>0</v>
      </c>
      <c r="R9" s="16">
        <v>0</v>
      </c>
      <c r="S9" s="16">
        <v>115420337.40038273</v>
      </c>
      <c r="T9" s="16">
        <v>0</v>
      </c>
      <c r="U9" s="16">
        <v>0</v>
      </c>
      <c r="V9" s="16">
        <v>0</v>
      </c>
    </row>
    <row r="10" spans="1:23" x14ac:dyDescent="0.35">
      <c r="A10" s="17" t="s">
        <v>341</v>
      </c>
      <c r="B10" s="16"/>
      <c r="C10" s="199">
        <f>C9</f>
        <v>206343262.15252632</v>
      </c>
      <c r="D10" s="16">
        <f>D9+D8</f>
        <v>180550354.38346052</v>
      </c>
      <c r="E10" s="16">
        <f t="shared" ref="E10:V10" si="1">E9+E8</f>
        <v>157981560.08552796</v>
      </c>
      <c r="F10" s="16">
        <f t="shared" si="1"/>
        <v>138233865.07483697</v>
      </c>
      <c r="G10" s="16">
        <f t="shared" si="1"/>
        <v>120954631.94048235</v>
      </c>
      <c r="H10" s="16">
        <f t="shared" si="1"/>
        <v>105835302.94792205</v>
      </c>
      <c r="I10" s="16">
        <f t="shared" si="1"/>
        <v>92605890.079431802</v>
      </c>
      <c r="J10" s="16">
        <f t="shared" si="1"/>
        <v>81030153.819502831</v>
      </c>
      <c r="K10" s="16">
        <f t="shared" si="1"/>
        <v>211382052.83458534</v>
      </c>
      <c r="L10" s="16">
        <f t="shared" si="1"/>
        <v>184959296.23026216</v>
      </c>
      <c r="M10" s="16">
        <f t="shared" si="1"/>
        <v>161839384.20147938</v>
      </c>
      <c r="N10" s="16">
        <f t="shared" si="1"/>
        <v>141609461.17629445</v>
      </c>
      <c r="O10" s="16">
        <f t="shared" si="1"/>
        <v>123908278.52925764</v>
      </c>
      <c r="P10" s="16">
        <f t="shared" si="1"/>
        <v>108419743.71310043</v>
      </c>
      <c r="Q10" s="16">
        <f t="shared" si="1"/>
        <v>94867275.748962879</v>
      </c>
      <c r="R10" s="16">
        <f t="shared" si="1"/>
        <v>83008866.280342519</v>
      </c>
      <c r="S10" s="16">
        <f t="shared" si="1"/>
        <v>188053095.39568242</v>
      </c>
      <c r="T10" s="16">
        <f t="shared" si="1"/>
        <v>164546458.47122213</v>
      </c>
      <c r="U10" s="16">
        <f t="shared" si="1"/>
        <v>143978151.16231936</v>
      </c>
      <c r="V10" s="16">
        <f t="shared" si="1"/>
        <v>125980882.26702943</v>
      </c>
    </row>
    <row r="11" spans="1:23" x14ac:dyDescent="0.35">
      <c r="A11" s="17" t="s">
        <v>342</v>
      </c>
      <c r="B11" s="16"/>
      <c r="C11" s="199">
        <f>C9/B7</f>
        <v>25792907.76906579</v>
      </c>
      <c r="D11" s="16">
        <f t="shared" ref="D11:V11" si="2">D10/$B$7</f>
        <v>22568794.297932565</v>
      </c>
      <c r="E11" s="16">
        <f t="shared" si="2"/>
        <v>19747695.010690995</v>
      </c>
      <c r="F11" s="16">
        <f t="shared" si="2"/>
        <v>17279233.134354621</v>
      </c>
      <c r="G11" s="16">
        <f t="shared" si="2"/>
        <v>15119328.992560294</v>
      </c>
      <c r="H11" s="16">
        <f t="shared" si="2"/>
        <v>13229412.868490256</v>
      </c>
      <c r="I11" s="16">
        <f t="shared" si="2"/>
        <v>11575736.259928975</v>
      </c>
      <c r="J11" s="16">
        <f t="shared" si="2"/>
        <v>10128769.227437854</v>
      </c>
      <c r="K11" s="16">
        <f t="shared" si="2"/>
        <v>26422756.604323167</v>
      </c>
      <c r="L11" s="16">
        <f t="shared" si="2"/>
        <v>23119912.02878277</v>
      </c>
      <c r="M11" s="16">
        <f t="shared" si="2"/>
        <v>20229923.025184922</v>
      </c>
      <c r="N11" s="16">
        <f t="shared" si="2"/>
        <v>17701182.647036806</v>
      </c>
      <c r="O11" s="16">
        <f t="shared" si="2"/>
        <v>15488534.816157205</v>
      </c>
      <c r="P11" s="16">
        <f t="shared" si="2"/>
        <v>13552467.964137554</v>
      </c>
      <c r="Q11" s="16">
        <f t="shared" si="2"/>
        <v>11858409.46862036</v>
      </c>
      <c r="R11" s="16">
        <f t="shared" si="2"/>
        <v>10376108.285042815</v>
      </c>
      <c r="S11" s="16">
        <f t="shared" si="2"/>
        <v>23506636.924460303</v>
      </c>
      <c r="T11" s="16">
        <f t="shared" si="2"/>
        <v>20568307.308902767</v>
      </c>
      <c r="U11" s="16">
        <f t="shared" si="2"/>
        <v>17997268.89528992</v>
      </c>
      <c r="V11" s="16">
        <f t="shared" si="2"/>
        <v>15747610.283378679</v>
      </c>
      <c r="W11" s="15" t="s">
        <v>344</v>
      </c>
    </row>
    <row r="12" spans="1:23" x14ac:dyDescent="0.35">
      <c r="A12" s="17" t="s">
        <v>343</v>
      </c>
      <c r="B12" s="16"/>
      <c r="C12" s="199">
        <f>C9-C11</f>
        <v>180550354.38346052</v>
      </c>
      <c r="D12" s="16">
        <f>D10-D11</f>
        <v>157981560.08552796</v>
      </c>
      <c r="E12" s="16">
        <f t="shared" ref="E12:V12" si="3">E10-E11</f>
        <v>138233865.07483697</v>
      </c>
      <c r="F12" s="16">
        <f t="shared" si="3"/>
        <v>120954631.94048235</v>
      </c>
      <c r="G12" s="16">
        <f t="shared" si="3"/>
        <v>105835302.94792205</v>
      </c>
      <c r="H12" s="16">
        <f t="shared" si="3"/>
        <v>92605890.079431802</v>
      </c>
      <c r="I12" s="16">
        <f t="shared" si="3"/>
        <v>81030153.819502831</v>
      </c>
      <c r="J12" s="16">
        <f t="shared" si="3"/>
        <v>70901384.592064977</v>
      </c>
      <c r="K12" s="16">
        <f t="shared" si="3"/>
        <v>184959296.23026216</v>
      </c>
      <c r="L12" s="16">
        <f t="shared" si="3"/>
        <v>161839384.20147938</v>
      </c>
      <c r="M12" s="16">
        <f t="shared" si="3"/>
        <v>141609461.17629445</v>
      </c>
      <c r="N12" s="16">
        <f t="shared" si="3"/>
        <v>123908278.52925764</v>
      </c>
      <c r="O12" s="16">
        <f t="shared" si="3"/>
        <v>108419743.71310043</v>
      </c>
      <c r="P12" s="16">
        <f t="shared" si="3"/>
        <v>94867275.748962879</v>
      </c>
      <c r="Q12" s="16">
        <f t="shared" si="3"/>
        <v>83008866.280342519</v>
      </c>
      <c r="R12" s="16">
        <f t="shared" si="3"/>
        <v>72632757.995299697</v>
      </c>
      <c r="S12" s="16">
        <f t="shared" si="3"/>
        <v>164546458.47122213</v>
      </c>
      <c r="T12" s="16">
        <f t="shared" si="3"/>
        <v>143978151.16231936</v>
      </c>
      <c r="U12" s="16">
        <f t="shared" si="3"/>
        <v>125980882.26702943</v>
      </c>
      <c r="V12" s="16">
        <f t="shared" si="3"/>
        <v>110233271.98365076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0814B-14E5-44E7-9E0D-AF8C592BA163}">
  <dimension ref="A1:V21"/>
  <sheetViews>
    <sheetView zoomScale="90" zoomScaleNormal="90" workbookViewId="0">
      <selection activeCell="E25" sqref="E25"/>
    </sheetView>
  </sheetViews>
  <sheetFormatPr defaultColWidth="16.54296875" defaultRowHeight="14.5" x14ac:dyDescent="0.35"/>
  <cols>
    <col min="1" max="1" width="52.54296875" style="12" customWidth="1"/>
    <col min="2" max="21" width="18.453125" style="12" bestFit="1" customWidth="1"/>
    <col min="22" max="16384" width="16.54296875" style="12"/>
  </cols>
  <sheetData>
    <row r="1" spans="1:22" ht="18.5" x14ac:dyDescent="0.45">
      <c r="A1" s="50" t="s">
        <v>329</v>
      </c>
      <c r="B1" s="48"/>
      <c r="C1" s="48"/>
      <c r="D1" s="21"/>
    </row>
    <row r="3" spans="1:22" x14ac:dyDescent="0.35">
      <c r="A3" s="12" t="s">
        <v>330</v>
      </c>
    </row>
    <row r="5" spans="1:22" x14ac:dyDescent="0.35">
      <c r="A5"/>
      <c r="B5" s="52" cm="1">
        <f t="array" ref="B5:U5">years</f>
        <v>2018</v>
      </c>
      <c r="C5" s="52">
        <v>2019</v>
      </c>
      <c r="D5" s="52">
        <v>2020</v>
      </c>
      <c r="E5" s="52">
        <v>2021</v>
      </c>
      <c r="F5" s="52">
        <v>2022</v>
      </c>
      <c r="G5" s="52">
        <v>2023</v>
      </c>
      <c r="H5" s="52">
        <v>2024</v>
      </c>
      <c r="I5" s="52">
        <v>2025</v>
      </c>
      <c r="J5" s="52">
        <v>2026</v>
      </c>
      <c r="K5" s="52">
        <v>2027</v>
      </c>
      <c r="L5" s="52">
        <v>2028</v>
      </c>
      <c r="M5" s="52">
        <v>2029</v>
      </c>
      <c r="N5" s="52">
        <v>2030</v>
      </c>
      <c r="O5" s="52">
        <v>2031</v>
      </c>
      <c r="P5" s="52">
        <v>2032</v>
      </c>
      <c r="Q5" s="52">
        <v>2033</v>
      </c>
      <c r="R5" s="52">
        <v>2034</v>
      </c>
      <c r="S5" s="52">
        <v>2035</v>
      </c>
      <c r="T5" s="52">
        <v>2036</v>
      </c>
      <c r="U5" s="52">
        <v>2037</v>
      </c>
    </row>
    <row r="6" spans="1:22" x14ac:dyDescent="0.35">
      <c r="A6" s="17" t="s">
        <v>331</v>
      </c>
      <c r="B6" s="16" cm="1">
        <f t="array" ref="B6:U6">fixed_minutes_incoming*pure_lric</f>
        <v>12401136.329955643</v>
      </c>
      <c r="C6" s="16">
        <v>11561241.315397546</v>
      </c>
      <c r="D6" s="16">
        <v>13330263.678811923</v>
      </c>
      <c r="E6" s="16">
        <v>11521904.759445382</v>
      </c>
      <c r="F6" s="16">
        <v>10451959.133769432</v>
      </c>
      <c r="G6" s="16">
        <v>10585287.941097226</v>
      </c>
      <c r="H6" s="16">
        <v>9467625.8617624603</v>
      </c>
      <c r="I6" s="16">
        <v>8813231.9608587734</v>
      </c>
      <c r="J6" s="16">
        <v>8227882.4679759946</v>
      </c>
      <c r="K6" s="16">
        <v>7681990.9181863377</v>
      </c>
      <c r="L6" s="16">
        <v>7172862.9182389705</v>
      </c>
      <c r="M6" s="16">
        <v>6697990.0890945299</v>
      </c>
      <c r="N6" s="16">
        <v>6255037.106615115</v>
      </c>
      <c r="O6" s="16">
        <v>5775798.5222558351</v>
      </c>
      <c r="P6" s="16">
        <v>5334875.0221788222</v>
      </c>
      <c r="Q6" s="16">
        <v>4929102.3290959932</v>
      </c>
      <c r="R6" s="16">
        <v>4555583.6076581907</v>
      </c>
      <c r="S6" s="16">
        <v>4211666.5017006267</v>
      </c>
      <c r="T6" s="16">
        <v>3853338.967936778</v>
      </c>
      <c r="U6" s="16">
        <v>3527981.5916924169</v>
      </c>
      <c r="V6" s="15" t="s">
        <v>334</v>
      </c>
    </row>
    <row r="7" spans="1:22" x14ac:dyDescent="0.35">
      <c r="A7" s="17" t="s">
        <v>332</v>
      </c>
      <c r="B7" s="16" cm="1">
        <f t="array" ref="B7:U7">lric_revenues/wacc_index</f>
        <v>10284472.894126559</v>
      </c>
      <c r="C7" s="16">
        <v>7995597.8871914353</v>
      </c>
      <c r="D7" s="16">
        <v>7652116.2986333044</v>
      </c>
      <c r="E7" s="16">
        <v>5628525.8603435932</v>
      </c>
      <c r="F7" s="16">
        <v>4271869.2753757527</v>
      </c>
      <c r="G7" s="16">
        <v>3570064.4199618609</v>
      </c>
      <c r="H7" s="16">
        <v>2634920.9423260428</v>
      </c>
      <c r="I7" s="16">
        <v>2024020.1325450994</v>
      </c>
      <c r="J7" s="16">
        <v>1559268.2362274134</v>
      </c>
      <c r="K7" s="16">
        <v>1201322.6554145815</v>
      </c>
      <c r="L7" s="16">
        <v>925617.45196381456</v>
      </c>
      <c r="M7" s="16">
        <v>713241.54037856043</v>
      </c>
      <c r="N7" s="16">
        <v>549635.96718785784</v>
      </c>
      <c r="O7" s="16">
        <v>418803.6081904195</v>
      </c>
      <c r="P7" s="16">
        <v>319209.46079893399</v>
      </c>
      <c r="Q7" s="16">
        <v>243373.0385457371</v>
      </c>
      <c r="R7" s="16">
        <v>185610.17362466193</v>
      </c>
      <c r="S7" s="16">
        <v>141600.52230992413</v>
      </c>
      <c r="T7" s="16">
        <v>106905.78837044352</v>
      </c>
      <c r="U7" s="16">
        <v>80768.764916542525</v>
      </c>
      <c r="V7" s="15"/>
    </row>
    <row r="8" spans="1:22" x14ac:dyDescent="0.35">
      <c r="A8" s="17" t="s">
        <v>333</v>
      </c>
      <c r="B8" s="16">
        <f>SUM(_xlfn.ANCHORARRAY(B7))</f>
        <v>50506944.918432541</v>
      </c>
      <c r="C8" s="23"/>
      <c r="D8" s="23"/>
      <c r="E8" s="23"/>
      <c r="F8" s="23"/>
      <c r="G8" s="23"/>
      <c r="H8" s="23"/>
      <c r="I8" s="23"/>
      <c r="J8" s="23"/>
      <c r="K8" s="23"/>
      <c r="L8" s="23"/>
      <c r="M8" s="23"/>
      <c r="N8" s="23"/>
      <c r="O8" s="23"/>
      <c r="P8" s="23"/>
      <c r="Q8" s="23"/>
      <c r="R8" s="23"/>
      <c r="S8" s="23"/>
      <c r="T8" s="23"/>
      <c r="U8" s="23"/>
      <c r="V8" s="15"/>
    </row>
    <row r="9" spans="1:22" x14ac:dyDescent="0.35">
      <c r="B9" s="23"/>
      <c r="C9" s="23"/>
      <c r="D9" s="23"/>
      <c r="E9" s="23"/>
      <c r="F9" s="23"/>
      <c r="G9" s="23"/>
      <c r="H9" s="23"/>
      <c r="I9" s="23"/>
      <c r="J9" s="23"/>
      <c r="K9" s="23"/>
      <c r="L9" s="23"/>
      <c r="M9" s="23"/>
      <c r="N9" s="23"/>
      <c r="O9" s="23"/>
      <c r="P9" s="23"/>
      <c r="Q9" s="23"/>
      <c r="R9" s="23"/>
      <c r="S9" s="23"/>
      <c r="T9" s="23"/>
      <c r="U9" s="23"/>
      <c r="V9" s="15"/>
    </row>
    <row r="11" spans="1:22" x14ac:dyDescent="0.35">
      <c r="A11" s="48" t="s">
        <v>335</v>
      </c>
      <c r="B11" s="48"/>
      <c r="C11" s="48"/>
      <c r="D11" s="48"/>
      <c r="E11" s="49"/>
      <c r="F11" s="49"/>
      <c r="G11" s="49"/>
      <c r="H11" s="49"/>
      <c r="I11" s="49"/>
      <c r="J11" s="49"/>
      <c r="K11" s="49"/>
      <c r="L11" s="49"/>
      <c r="M11" s="49"/>
      <c r="N11" s="49"/>
      <c r="O11" s="49"/>
      <c r="P11" s="49"/>
      <c r="Q11" s="49"/>
      <c r="R11" s="49"/>
      <c r="S11" s="49"/>
      <c r="T11" s="49"/>
      <c r="U11" s="49"/>
    </row>
    <row r="14" spans="1:22" x14ac:dyDescent="0.35">
      <c r="B14" s="52" cm="1">
        <f t="array" ref="B14:U14">years</f>
        <v>2018</v>
      </c>
      <c r="C14" s="52">
        <v>2019</v>
      </c>
      <c r="D14" s="52">
        <v>2020</v>
      </c>
      <c r="E14" s="52">
        <v>2021</v>
      </c>
      <c r="F14" s="52">
        <v>2022</v>
      </c>
      <c r="G14" s="52">
        <v>2023</v>
      </c>
      <c r="H14" s="52">
        <v>2024</v>
      </c>
      <c r="I14" s="52">
        <v>2025</v>
      </c>
      <c r="J14" s="52">
        <v>2026</v>
      </c>
      <c r="K14" s="52">
        <v>2027</v>
      </c>
      <c r="L14" s="52">
        <v>2028</v>
      </c>
      <c r="M14" s="52">
        <v>2029</v>
      </c>
      <c r="N14" s="52">
        <v>2030</v>
      </c>
      <c r="O14" s="52">
        <v>2031</v>
      </c>
      <c r="P14" s="52">
        <v>2032</v>
      </c>
      <c r="Q14" s="52">
        <v>2033</v>
      </c>
      <c r="R14" s="52">
        <v>2034</v>
      </c>
      <c r="S14" s="52">
        <v>2035</v>
      </c>
      <c r="T14" s="52">
        <v>2036</v>
      </c>
      <c r="U14" s="52">
        <v>2037</v>
      </c>
    </row>
    <row r="15" spans="1:22" x14ac:dyDescent="0.35">
      <c r="A15" s="17" t="str">
        <f>'5 Cost - opex'!$A$4</f>
        <v>Core network opex</v>
      </c>
      <c r="B15" s="16" cm="1">
        <f t="array" ref="B15:U15">core_costs_opex</f>
        <v>17283311.637895606</v>
      </c>
      <c r="C15" s="16">
        <v>17991927.415049322</v>
      </c>
      <c r="D15" s="16">
        <v>18585661.01974595</v>
      </c>
      <c r="E15" s="16">
        <v>19422015.765634511</v>
      </c>
      <c r="F15" s="16">
        <v>20762134.853463296</v>
      </c>
      <c r="G15" s="16">
        <v>22007862.944671098</v>
      </c>
      <c r="H15" s="16">
        <v>23108256.091904648</v>
      </c>
      <c r="I15" s="16">
        <v>24148127.61604036</v>
      </c>
      <c r="J15" s="16">
        <v>14004742.427940279</v>
      </c>
      <c r="K15" s="16">
        <v>14634955.837197591</v>
      </c>
      <c r="L15" s="16">
        <v>15293528.849871475</v>
      </c>
      <c r="M15" s="16">
        <v>15981737.648115691</v>
      </c>
      <c r="N15" s="16">
        <v>16700915.842280893</v>
      </c>
      <c r="O15" s="16">
        <v>17452457.05518353</v>
      </c>
      <c r="P15" s="16">
        <v>18237817.622666791</v>
      </c>
      <c r="Q15" s="16">
        <v>19058519.415686794</v>
      </c>
      <c r="R15" s="16">
        <v>14311784.702304527</v>
      </c>
      <c r="S15" s="16">
        <v>14955815.013908228</v>
      </c>
      <c r="T15" s="16">
        <v>15628826.689534102</v>
      </c>
      <c r="U15" s="16">
        <v>16332123.89056313</v>
      </c>
    </row>
    <row r="16" spans="1:22" x14ac:dyDescent="0.35">
      <c r="A16" s="17" t="s">
        <v>336</v>
      </c>
      <c r="B16" s="16" cm="1">
        <f t="array" ref="B16:U16">Depreciation_straightline</f>
        <v>25792907.76906579</v>
      </c>
      <c r="C16" s="16">
        <v>22568794.297932565</v>
      </c>
      <c r="D16" s="16">
        <v>19747695.010690995</v>
      </c>
      <c r="E16" s="16">
        <v>17279233.134354621</v>
      </c>
      <c r="F16" s="16">
        <v>15119328.992560294</v>
      </c>
      <c r="G16" s="16">
        <v>13229412.868490256</v>
      </c>
      <c r="H16" s="16">
        <v>11575736.259928975</v>
      </c>
      <c r="I16" s="16">
        <v>10128769.227437854</v>
      </c>
      <c r="J16" s="16">
        <v>26422756.604323167</v>
      </c>
      <c r="K16" s="16">
        <v>23119912.02878277</v>
      </c>
      <c r="L16" s="16">
        <v>20229923.025184922</v>
      </c>
      <c r="M16" s="16">
        <v>17701182.647036806</v>
      </c>
      <c r="N16" s="16">
        <v>15488534.816157205</v>
      </c>
      <c r="O16" s="16">
        <v>13552467.964137554</v>
      </c>
      <c r="P16" s="16">
        <v>11858409.46862036</v>
      </c>
      <c r="Q16" s="16">
        <v>10376108.285042815</v>
      </c>
      <c r="R16" s="16">
        <v>23506636.924460303</v>
      </c>
      <c r="S16" s="16">
        <v>20568307.308902767</v>
      </c>
      <c r="T16" s="16">
        <v>17997268.89528992</v>
      </c>
      <c r="U16" s="16">
        <v>15747610.283378679</v>
      </c>
    </row>
    <row r="17" spans="1:21" x14ac:dyDescent="0.35">
      <c r="A17" s="17" t="s">
        <v>337</v>
      </c>
      <c r="B17" s="16">
        <f>B15+B16</f>
        <v>43076219.406961396</v>
      </c>
      <c r="C17" s="16">
        <f t="shared" ref="C17:U17" si="0">C15+C16</f>
        <v>40560721.712981887</v>
      </c>
      <c r="D17" s="16">
        <f t="shared" si="0"/>
        <v>38333356.030436948</v>
      </c>
      <c r="E17" s="16">
        <f t="shared" si="0"/>
        <v>36701248.899989128</v>
      </c>
      <c r="F17" s="16">
        <f t="shared" si="0"/>
        <v>35881463.846023589</v>
      </c>
      <c r="G17" s="16">
        <f t="shared" si="0"/>
        <v>35237275.813161358</v>
      </c>
      <c r="H17" s="16">
        <f t="shared" si="0"/>
        <v>34683992.351833627</v>
      </c>
      <c r="I17" s="16">
        <f t="shared" si="0"/>
        <v>34276896.843478218</v>
      </c>
      <c r="J17" s="16">
        <f t="shared" si="0"/>
        <v>40427499.032263443</v>
      </c>
      <c r="K17" s="16">
        <f t="shared" si="0"/>
        <v>37754867.865980357</v>
      </c>
      <c r="L17" s="16">
        <f t="shared" si="0"/>
        <v>35523451.875056401</v>
      </c>
      <c r="M17" s="16">
        <f t="shared" si="0"/>
        <v>33682920.2951525</v>
      </c>
      <c r="N17" s="16">
        <f t="shared" si="0"/>
        <v>32189450.658438098</v>
      </c>
      <c r="O17" s="16">
        <f t="shared" si="0"/>
        <v>31004925.019321084</v>
      </c>
      <c r="P17" s="16">
        <f t="shared" si="0"/>
        <v>30096227.091287151</v>
      </c>
      <c r="Q17" s="16">
        <f t="shared" si="0"/>
        <v>29434627.700729609</v>
      </c>
      <c r="R17" s="16">
        <f t="shared" si="0"/>
        <v>37818421.626764834</v>
      </c>
      <c r="S17" s="16">
        <f t="shared" si="0"/>
        <v>35524122.322810993</v>
      </c>
      <c r="T17" s="16">
        <f t="shared" si="0"/>
        <v>33626095.584824026</v>
      </c>
      <c r="U17" s="16">
        <f t="shared" si="0"/>
        <v>32079734.17394181</v>
      </c>
    </row>
    <row r="18" spans="1:21" x14ac:dyDescent="0.35">
      <c r="B18" s="23"/>
      <c r="C18" s="23"/>
      <c r="D18" s="23"/>
      <c r="E18" s="23"/>
      <c r="F18" s="23"/>
      <c r="G18" s="23"/>
      <c r="H18" s="23"/>
      <c r="I18" s="23"/>
      <c r="J18" s="23"/>
      <c r="K18" s="23"/>
      <c r="L18" s="23"/>
      <c r="M18" s="23"/>
      <c r="N18" s="23"/>
      <c r="O18" s="23"/>
      <c r="P18" s="23"/>
      <c r="Q18" s="23"/>
      <c r="R18" s="23"/>
      <c r="S18" s="23"/>
      <c r="T18" s="23"/>
      <c r="U18" s="23"/>
    </row>
    <row r="19" spans="1:21" x14ac:dyDescent="0.35">
      <c r="B19" s="23"/>
      <c r="C19" s="23"/>
      <c r="D19" s="23"/>
      <c r="E19" s="23"/>
      <c r="F19" s="23"/>
      <c r="G19" s="23"/>
      <c r="H19" s="23"/>
      <c r="I19" s="23"/>
      <c r="J19" s="23"/>
      <c r="K19" s="23"/>
      <c r="L19" s="23"/>
      <c r="M19" s="23"/>
      <c r="N19" s="23"/>
      <c r="O19" s="23"/>
      <c r="P19" s="23"/>
      <c r="Q19" s="23"/>
      <c r="R19" s="23"/>
      <c r="S19" s="23"/>
      <c r="T19" s="23"/>
      <c r="U19" s="23"/>
    </row>
    <row r="20" spans="1:21" x14ac:dyDescent="0.35">
      <c r="B20" s="23"/>
      <c r="C20" s="23"/>
      <c r="D20" s="23"/>
      <c r="E20" s="23"/>
      <c r="F20" s="23"/>
      <c r="G20" s="23"/>
      <c r="H20" s="23"/>
      <c r="I20" s="23"/>
      <c r="J20" s="23"/>
      <c r="K20" s="23"/>
      <c r="L20" s="23"/>
      <c r="M20" s="23"/>
      <c r="N20" s="23"/>
      <c r="O20" s="23"/>
      <c r="P20" s="23"/>
      <c r="Q20" s="23"/>
      <c r="R20" s="23"/>
      <c r="S20" s="23"/>
      <c r="T20" s="23"/>
      <c r="U20" s="23"/>
    </row>
    <row r="21" spans="1:21" x14ac:dyDescent="0.35">
      <c r="B21" s="23"/>
      <c r="C21" s="23"/>
      <c r="D21" s="23"/>
      <c r="E21" s="23"/>
      <c r="F21" s="23"/>
      <c r="G21" s="23"/>
      <c r="H21" s="23"/>
      <c r="I21" s="23"/>
      <c r="J21" s="23"/>
      <c r="K21" s="23"/>
      <c r="L21" s="23"/>
      <c r="M21" s="23"/>
      <c r="N21" s="23"/>
      <c r="O21" s="23"/>
      <c r="P21" s="23"/>
      <c r="Q21" s="23"/>
      <c r="R21" s="23"/>
      <c r="S21" s="23"/>
      <c r="T21" s="23"/>
      <c r="U21" s="2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063B0-E577-4947-BC13-798152C56848}">
  <sheetPr>
    <tabColor theme="3" tint="0.79998168889431442"/>
  </sheetPr>
  <dimension ref="B2:K23"/>
  <sheetViews>
    <sheetView workbookViewId="0">
      <selection activeCell="P30" sqref="P30"/>
    </sheetView>
  </sheetViews>
  <sheetFormatPr defaultColWidth="8.54296875" defaultRowHeight="14.5" x14ac:dyDescent="0.35"/>
  <cols>
    <col min="1" max="16384" width="8.54296875" style="12"/>
  </cols>
  <sheetData>
    <row r="2" spans="2:2" x14ac:dyDescent="0.35">
      <c r="B2" s="12" t="s">
        <v>174</v>
      </c>
    </row>
    <row r="23" spans="11:11" x14ac:dyDescent="0.35">
      <c r="K23" s="2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CEBA7-9990-4B9E-98CC-FDB471927638}">
  <dimension ref="A1:U57"/>
  <sheetViews>
    <sheetView zoomScale="93" zoomScaleNormal="93" workbookViewId="0">
      <selection activeCell="C6" sqref="C6"/>
    </sheetView>
  </sheetViews>
  <sheetFormatPr defaultColWidth="8.54296875" defaultRowHeight="14.5" x14ac:dyDescent="0.35"/>
  <cols>
    <col min="1" max="1" width="31.453125" style="12" customWidth="1"/>
    <col min="2" max="21" width="15.54296875" style="12" customWidth="1"/>
    <col min="22" max="16384" width="8.54296875" style="12"/>
  </cols>
  <sheetData>
    <row r="1" spans="1:21" ht="17" x14ac:dyDescent="0.4">
      <c r="A1" s="153" t="s">
        <v>175</v>
      </c>
      <c r="B1" s="49"/>
      <c r="C1" s="49"/>
    </row>
    <row r="3" spans="1:21" x14ac:dyDescent="0.35">
      <c r="A3" s="21" t="s">
        <v>176</v>
      </c>
    </row>
    <row r="4" spans="1:21" x14ac:dyDescent="0.35">
      <c r="A4" s="17" t="str" cm="1">
        <f t="array" ref="A4:A6">growth_scenarios</f>
        <v>Low growth scenario</v>
      </c>
      <c r="B4" s="131">
        <f>ITU!I6</f>
        <v>-0.13491872727553533</v>
      </c>
    </row>
    <row r="5" spans="1:21" x14ac:dyDescent="0.35">
      <c r="A5" s="17" t="str">
        <v>Medium growth scenario</v>
      </c>
      <c r="B5" s="131">
        <f>ITU!I7</f>
        <v>-9.5528839442353353E-2</v>
      </c>
    </row>
    <row r="6" spans="1:21" x14ac:dyDescent="0.35">
      <c r="A6" s="17" t="str">
        <v>High growth scenario</v>
      </c>
      <c r="B6" s="131">
        <f>ITU!I11</f>
        <v>5.0578190199148443E-2</v>
      </c>
    </row>
    <row r="7" spans="1:21" x14ac:dyDescent="0.35">
      <c r="B7" s="24"/>
    </row>
    <row r="8" spans="1:21" x14ac:dyDescent="0.35">
      <c r="A8" s="17" t="s">
        <v>177</v>
      </c>
      <c r="B8" s="131">
        <v>0.6</v>
      </c>
    </row>
    <row r="10" spans="1:21" x14ac:dyDescent="0.35">
      <c r="A10" s="48" t="s">
        <v>178</v>
      </c>
      <c r="B10" s="49"/>
      <c r="C10" s="49"/>
      <c r="D10" s="49"/>
      <c r="E10" s="49"/>
      <c r="F10" s="49"/>
      <c r="G10" s="49"/>
      <c r="H10" s="49"/>
      <c r="I10" s="49"/>
      <c r="J10" s="49"/>
      <c r="K10" s="49"/>
      <c r="L10" s="49"/>
      <c r="M10" s="49"/>
      <c r="N10" s="49"/>
      <c r="O10" s="49"/>
      <c r="P10" s="49"/>
      <c r="Q10" s="49"/>
      <c r="R10" s="49"/>
      <c r="S10" s="49"/>
      <c r="T10" s="49"/>
      <c r="U10" s="49"/>
    </row>
    <row r="11" spans="1:21" x14ac:dyDescent="0.35">
      <c r="A11" s="21"/>
    </row>
    <row r="12" spans="1:21" x14ac:dyDescent="0.35">
      <c r="A12" s="196"/>
      <c r="B12" s="52" cm="1">
        <f t="array" ref="B12:U12">years</f>
        <v>2018</v>
      </c>
      <c r="C12" s="52">
        <v>2019</v>
      </c>
      <c r="D12" s="52">
        <v>2020</v>
      </c>
      <c r="E12" s="52">
        <v>2021</v>
      </c>
      <c r="F12" s="52">
        <v>2022</v>
      </c>
      <c r="G12" s="52">
        <v>2023</v>
      </c>
      <c r="H12" s="52">
        <v>2024</v>
      </c>
      <c r="I12" s="52">
        <v>2025</v>
      </c>
      <c r="J12" s="52">
        <v>2026</v>
      </c>
      <c r="K12" s="52">
        <v>2027</v>
      </c>
      <c r="L12" s="52">
        <v>2028</v>
      </c>
      <c r="M12" s="52">
        <v>2029</v>
      </c>
      <c r="N12" s="52">
        <v>2030</v>
      </c>
      <c r="O12" s="52">
        <v>2031</v>
      </c>
      <c r="P12" s="52">
        <v>2032</v>
      </c>
      <c r="Q12" s="52">
        <v>2033</v>
      </c>
      <c r="R12" s="52">
        <v>2034</v>
      </c>
      <c r="S12" s="52">
        <v>2035</v>
      </c>
      <c r="T12" s="52">
        <v>2036</v>
      </c>
      <c r="U12" s="52">
        <v>2037</v>
      </c>
    </row>
    <row r="13" spans="1:21" x14ac:dyDescent="0.35">
      <c r="A13" s="17" t="str" cm="1">
        <f t="array" ref="A13:A15">growth_scenarios</f>
        <v>Low growth scenario</v>
      </c>
      <c r="B13" s="5">
        <f>ITU!D$6*$B$8</f>
        <v>3642630000</v>
      </c>
      <c r="C13" s="5">
        <f>ITU!E$6*$B$8</f>
        <v>3063954000</v>
      </c>
      <c r="D13" s="5">
        <f>ITU!F$6*$B$8</f>
        <v>2663016000</v>
      </c>
      <c r="E13" s="10">
        <f>ITU!G$6*$B$8</f>
        <v>2358228000</v>
      </c>
      <c r="F13" s="5">
        <f>E13*(1+$B$4)</f>
        <v>2040058879.6144688</v>
      </c>
      <c r="G13" s="5">
        <f t="shared" ref="G13" si="0">F13*(1+$B$4)</f>
        <v>1764816732.0097301</v>
      </c>
      <c r="H13" s="5">
        <f t="shared" ref="H13" si="1">G13*(1+$B$4)</f>
        <v>1526709904.6524079</v>
      </c>
      <c r="I13" s="5">
        <f t="shared" ref="I13" si="2">H13*(1+$B$4)</f>
        <v>1320728147.3977511</v>
      </c>
      <c r="J13" s="5">
        <f t="shared" ref="J13" si="3">I13*(1+$B$4)</f>
        <v>1142537186.6738708</v>
      </c>
      <c r="K13" s="5">
        <f t="shared" ref="K13" si="4">J13*(1+$B$4)</f>
        <v>988387523.58286142</v>
      </c>
      <c r="L13" s="5">
        <f t="shared" ref="L13" si="5">K13*(1+$B$4)</f>
        <v>855035536.84604359</v>
      </c>
      <c r="M13" s="5">
        <f t="shared" ref="M13" si="6">L13*(1+$B$4)</f>
        <v>739675230.4394213</v>
      </c>
      <c r="N13" s="5">
        <f t="shared" ref="N13" si="7">M13*(1+$B$4)</f>
        <v>639879189.75129628</v>
      </c>
      <c r="O13" s="5">
        <f t="shared" ref="O13" si="8">N13*(1+$B$4)</f>
        <v>553547503.85995066</v>
      </c>
      <c r="P13" s="5">
        <f t="shared" ref="P13" si="9">O13*(1+$B$4)</f>
        <v>478863579.15261662</v>
      </c>
      <c r="Q13" s="5">
        <f t="shared" ref="Q13" si="10">P13*(1+$B$4)</f>
        <v>414255914.51473802</v>
      </c>
      <c r="R13" s="5">
        <f t="shared" ref="R13" si="11">Q13*(1+$B$4)</f>
        <v>358365033.76204658</v>
      </c>
      <c r="S13" s="5">
        <f t="shared" ref="S13" si="12">R13*(1+$B$4)</f>
        <v>310014879.50681698</v>
      </c>
      <c r="T13" s="5">
        <f t="shared" ref="T13" si="13">S13*(1+$B$4)</f>
        <v>268188066.52727878</v>
      </c>
      <c r="U13" s="5">
        <f t="shared" ref="U13" si="14">T13*(1+$B$4)</f>
        <v>232004473.92093173</v>
      </c>
    </row>
    <row r="14" spans="1:21" x14ac:dyDescent="0.35">
      <c r="A14" s="17" t="str">
        <v>Medium growth scenario</v>
      </c>
      <c r="B14" s="5">
        <f>ITU!D$6*$B$8</f>
        <v>3642630000</v>
      </c>
      <c r="C14" s="5">
        <f>ITU!E$6*$B$8</f>
        <v>3063954000</v>
      </c>
      <c r="D14" s="5">
        <f>ITU!F$6*$B$8</f>
        <v>2663016000</v>
      </c>
      <c r="E14" s="5">
        <f>ITU!G$6*$B$8</f>
        <v>2358228000</v>
      </c>
      <c r="F14" s="5">
        <f>E14*(1+$B$5)</f>
        <v>2132949216.0195379</v>
      </c>
      <c r="G14" s="5">
        <f t="shared" ref="G14" si="15">F14*(1+$B$5)</f>
        <v>1929191052.823714</v>
      </c>
      <c r="H14" s="5">
        <f t="shared" ref="H14" si="16">G14*(1+$B$5)</f>
        <v>1744897670.4848928</v>
      </c>
      <c r="I14" s="5">
        <f t="shared" ref="I14" si="17">H14*(1+$B$5)</f>
        <v>1578209621.077805</v>
      </c>
      <c r="J14" s="5">
        <f t="shared" ref="J14" si="18">I14*(1+$B$5)</f>
        <v>1427445087.5794861</v>
      </c>
      <c r="K14" s="5">
        <f t="shared" ref="K14" si="19">J14*(1+$B$5)</f>
        <v>1291082914.9953294</v>
      </c>
      <c r="L14" s="5">
        <f t="shared" ref="L14" si="20">K14*(1+$B$5)</f>
        <v>1167747262.5019751</v>
      </c>
      <c r="M14" s="5">
        <f t="shared" ref="M14" si="21">L14*(1+$B$5)</f>
        <v>1056193721.7531762</v>
      </c>
      <c r="N14" s="5">
        <f t="shared" ref="N14" si="22">M14*(1+$B$5)</f>
        <v>955296761.28779542</v>
      </c>
      <c r="O14" s="5">
        <f t="shared" ref="O14" si="23">N14*(1+$B$5)</f>
        <v>864038370.35893345</v>
      </c>
      <c r="P14" s="5">
        <f t="shared" ref="P14" si="24">O14*(1+$B$5)</f>
        <v>781497787.60488224</v>
      </c>
      <c r="Q14" s="5">
        <f t="shared" ref="Q14" si="25">P14*(1+$B$5)</f>
        <v>706842210.92822111</v>
      </c>
      <c r="R14" s="5">
        <f t="shared" ref="R14" si="26">Q14*(1+$B$5)</f>
        <v>639318394.84938097</v>
      </c>
      <c r="S14" s="5">
        <f t="shared" ref="S14" si="27">R14*(1+$B$5)</f>
        <v>578245050.55527139</v>
      </c>
      <c r="T14" s="5">
        <f t="shared" ref="T14" si="28">S14*(1+$B$5)</f>
        <v>523005971.96244138</v>
      </c>
      <c r="U14" s="5">
        <f t="shared" ref="U14" si="29">T14*(1+$B$5)</f>
        <v>473043818.43944937</v>
      </c>
    </row>
    <row r="15" spans="1:21" x14ac:dyDescent="0.35">
      <c r="A15" s="17" t="str">
        <v>High growth scenario</v>
      </c>
      <c r="B15" s="5">
        <f>ITU!D$6*$B$8</f>
        <v>3642630000</v>
      </c>
      <c r="C15" s="5">
        <f>ITU!E$6*$B$8</f>
        <v>3063954000</v>
      </c>
      <c r="D15" s="5">
        <f>ITU!F$6*$B$8</f>
        <v>2663016000</v>
      </c>
      <c r="E15" s="5">
        <f>ITU!G$6*$B$8</f>
        <v>2358228000</v>
      </c>
      <c r="F15" s="5">
        <f>E15*(1+$B$6)</f>
        <v>2477502904.3169575</v>
      </c>
      <c r="G15" s="5">
        <f t="shared" ref="G15" si="30">F15*(1+$B$6)</f>
        <v>2602810517.4304433</v>
      </c>
      <c r="H15" s="5">
        <f t="shared" ref="H15" si="31">G15*(1+$B$6)</f>
        <v>2734455962.833384</v>
      </c>
      <c r="I15" s="5">
        <f t="shared" ref="I15" si="32">H15*(1+$B$6)</f>
        <v>2872759796.6127667</v>
      </c>
      <c r="J15" s="5">
        <f t="shared" ref="J15" si="33">I15*(1+$B$6)</f>
        <v>3018058788.0023141</v>
      </c>
      <c r="K15" s="5">
        <f t="shared" ref="K15" si="34">J15*(1+$B$6)</f>
        <v>3170706739.4141064</v>
      </c>
      <c r="L15" s="5">
        <f t="shared" ref="L15" si="35">K15*(1+$B$6)</f>
        <v>3331075347.9459147</v>
      </c>
      <c r="M15" s="5">
        <f t="shared" ref="M15" si="36">L15*(1+$B$6)</f>
        <v>3499555110.462018</v>
      </c>
      <c r="N15" s="5">
        <f t="shared" ref="N15" si="37">M15*(1+$B$6)</f>
        <v>3676556274.4513679</v>
      </c>
      <c r="O15" s="5">
        <f t="shared" ref="O15" si="38">N15*(1+$B$6)</f>
        <v>3862509836.9784417</v>
      </c>
      <c r="P15" s="5">
        <f t="shared" ref="P15" si="39">O15*(1+$B$6)</f>
        <v>4057868594.1592193</v>
      </c>
      <c r="Q15" s="5">
        <f t="shared" ref="Q15" si="40">P15*(1+$B$6)</f>
        <v>4263108243.7177553</v>
      </c>
      <c r="R15" s="5">
        <f t="shared" ref="R15" si="41">Q15*(1+$B$6)</f>
        <v>4478728543.3080692</v>
      </c>
      <c r="S15" s="5">
        <f t="shared" ref="S15" si="42">R15*(1+$B$6)</f>
        <v>4705254527.4218597</v>
      </c>
      <c r="T15" s="5">
        <f t="shared" ref="T15" si="43">S15*(1+$B$6)</f>
        <v>4943237785.8452072</v>
      </c>
      <c r="U15" s="5">
        <f t="shared" ref="U15" si="44">T15*(1+$B$6)</f>
        <v>5193257806.7773037</v>
      </c>
    </row>
    <row r="17" spans="1:21" x14ac:dyDescent="0.35">
      <c r="A17" s="48" t="s">
        <v>325</v>
      </c>
      <c r="B17" s="49"/>
      <c r="C17" s="49"/>
      <c r="D17" s="49"/>
      <c r="E17" s="49"/>
      <c r="F17" s="49"/>
      <c r="G17" s="49"/>
      <c r="H17" s="49"/>
      <c r="I17" s="49"/>
      <c r="J17" s="49"/>
      <c r="K17" s="49"/>
      <c r="L17" s="49"/>
      <c r="M17" s="49"/>
      <c r="N17" s="49"/>
      <c r="O17" s="49"/>
      <c r="P17" s="49"/>
      <c r="Q17" s="49"/>
      <c r="R17" s="49"/>
      <c r="S17" s="49"/>
      <c r="T17" s="49"/>
      <c r="U17" s="49"/>
    </row>
    <row r="19" spans="1:21" x14ac:dyDescent="0.35">
      <c r="A19" s="196"/>
      <c r="B19" s="52" cm="1">
        <f t="array" ref="B19:U19">years</f>
        <v>2018</v>
      </c>
      <c r="C19" s="52">
        <v>2019</v>
      </c>
      <c r="D19" s="52">
        <v>2020</v>
      </c>
      <c r="E19" s="52">
        <v>2021</v>
      </c>
      <c r="F19" s="52">
        <v>2022</v>
      </c>
      <c r="G19" s="52">
        <v>2023</v>
      </c>
      <c r="H19" s="52">
        <v>2024</v>
      </c>
      <c r="I19" s="52">
        <v>2025</v>
      </c>
      <c r="J19" s="52">
        <v>2026</v>
      </c>
      <c r="K19" s="52">
        <v>2027</v>
      </c>
      <c r="L19" s="52">
        <v>2028</v>
      </c>
      <c r="M19" s="52">
        <v>2029</v>
      </c>
      <c r="N19" s="52">
        <v>2030</v>
      </c>
      <c r="O19" s="52">
        <v>2031</v>
      </c>
      <c r="P19" s="52">
        <v>2032</v>
      </c>
      <c r="Q19" s="52">
        <v>2033</v>
      </c>
      <c r="R19" s="52">
        <v>2034</v>
      </c>
      <c r="S19" s="52">
        <v>2035</v>
      </c>
      <c r="T19" s="52">
        <v>2036</v>
      </c>
      <c r="U19" s="52">
        <v>2037</v>
      </c>
    </row>
    <row r="20" spans="1:21" x14ac:dyDescent="0.35">
      <c r="A20" s="17" t="str" cm="1">
        <f t="array" ref="A20:A22">growth_scenarios</f>
        <v>Low growth scenario</v>
      </c>
      <c r="B20" s="5">
        <f>ITU!D$6*(1-$B$8)</f>
        <v>2428420000</v>
      </c>
      <c r="C20" s="5">
        <f>ITU!E$6*(1-$B$8)</f>
        <v>2042636000</v>
      </c>
      <c r="D20" s="5">
        <f>ITU!F$6*(1-$B$8)</f>
        <v>1775344000</v>
      </c>
      <c r="E20" s="5">
        <f>ITU!G$6*(1-$B$8)</f>
        <v>1572152000</v>
      </c>
      <c r="F20" s="5">
        <f>E20*(1+$B$4)</f>
        <v>1360039253.0763125</v>
      </c>
      <c r="G20" s="5">
        <f t="shared" ref="G20" si="45">F20*(1+$B$4)</f>
        <v>1176544488.0064867</v>
      </c>
      <c r="H20" s="5">
        <f t="shared" ref="H20" si="46">G20*(1+$B$4)</f>
        <v>1017806603.1016052</v>
      </c>
      <c r="I20" s="5">
        <f t="shared" ref="I20" si="47">H20*(1+$B$4)</f>
        <v>880485431.59850073</v>
      </c>
      <c r="J20" s="5">
        <f t="shared" ref="J20" si="48">I20*(1+$B$4)</f>
        <v>761691457.78258061</v>
      </c>
      <c r="K20" s="5">
        <f t="shared" ref="K20" si="49">J20*(1+$B$4)</f>
        <v>658925015.72190773</v>
      </c>
      <c r="L20" s="5">
        <f t="shared" ref="L20" si="50">K20*(1+$B$4)</f>
        <v>570023691.23069584</v>
      </c>
      <c r="M20" s="5">
        <f t="shared" ref="M20" si="51">L20*(1+$B$4)</f>
        <v>493116820.29294765</v>
      </c>
      <c r="N20" s="5">
        <f t="shared" ref="N20" si="52">M20*(1+$B$4)</f>
        <v>426586126.50086427</v>
      </c>
      <c r="O20" s="5">
        <f t="shared" ref="O20" si="53">N20*(1+$B$4)</f>
        <v>369031669.23996717</v>
      </c>
      <c r="P20" s="5">
        <f t="shared" ref="P20" si="54">O20*(1+$B$4)</f>
        <v>319242386.10174447</v>
      </c>
      <c r="Q20" s="5">
        <f t="shared" ref="Q20" si="55">P20*(1+$B$4)</f>
        <v>276170609.67649204</v>
      </c>
      <c r="R20" s="5">
        <f t="shared" ref="R20" si="56">Q20*(1+$B$4)</f>
        <v>238910022.5080311</v>
      </c>
      <c r="S20" s="5">
        <f t="shared" ref="S20" si="57">R20*(1+$B$4)</f>
        <v>206676586.33787805</v>
      </c>
      <c r="T20" s="5">
        <f t="shared" ref="T20" si="58">S20*(1+$B$4)</f>
        <v>178792044.35151926</v>
      </c>
      <c r="U20" s="5">
        <f t="shared" ref="U20" si="59">T20*(1+$B$4)</f>
        <v>154669649.2806212</v>
      </c>
    </row>
    <row r="21" spans="1:21" x14ac:dyDescent="0.35">
      <c r="A21" s="17" t="str">
        <v>Medium growth scenario</v>
      </c>
      <c r="B21" s="5">
        <f>ITU!D$6*(1-$B$8)</f>
        <v>2428420000</v>
      </c>
      <c r="C21" s="5">
        <f>ITU!E$6*(1-$B$8)</f>
        <v>2042636000</v>
      </c>
      <c r="D21" s="5">
        <f>ITU!F$6*(1-$B$8)</f>
        <v>1775344000</v>
      </c>
      <c r="E21" s="5">
        <f>ITU!G$6*(1-$B$8)</f>
        <v>1572152000</v>
      </c>
      <c r="F21" s="5">
        <f>E21*(1+$B$5)</f>
        <v>1421966144.0130253</v>
      </c>
      <c r="G21" s="5">
        <f t="shared" ref="G21" si="60">F21*(1+$B$5)</f>
        <v>1286127368.5491426</v>
      </c>
      <c r="H21" s="5">
        <f t="shared" ref="H21" si="61">G21*(1+$B$5)</f>
        <v>1163265113.6565952</v>
      </c>
      <c r="I21" s="5">
        <f t="shared" ref="I21" si="62">H21*(1+$B$5)</f>
        <v>1052139747.3852034</v>
      </c>
      <c r="J21" s="5">
        <f t="shared" ref="J21" si="63">I21*(1+$B$5)</f>
        <v>951630058.38632405</v>
      </c>
      <c r="K21" s="5">
        <f t="shared" ref="K21" si="64">J21*(1+$B$5)</f>
        <v>860721943.33021951</v>
      </c>
      <c r="L21" s="5">
        <f t="shared" ref="L21" si="65">K21*(1+$B$5)</f>
        <v>778498175.00131655</v>
      </c>
      <c r="M21" s="5">
        <f t="shared" ref="M21" si="66">L21*(1+$B$5)</f>
        <v>704129147.83545065</v>
      </c>
      <c r="N21" s="5">
        <f t="shared" ref="N21" si="67">M21*(1+$B$5)</f>
        <v>636864507.52519679</v>
      </c>
      <c r="O21" s="5">
        <f t="shared" ref="O21" si="68">N21*(1+$B$5)</f>
        <v>576025580.23928881</v>
      </c>
      <c r="P21" s="5">
        <f t="shared" ref="P21" si="69">O21*(1+$B$5)</f>
        <v>520998525.06992137</v>
      </c>
      <c r="Q21" s="5">
        <f t="shared" ref="Q21" si="70">P21*(1+$B$5)</f>
        <v>471228140.61881393</v>
      </c>
      <c r="R21" s="5">
        <f t="shared" ref="R21" si="71">Q21*(1+$B$5)</f>
        <v>426212263.23292053</v>
      </c>
      <c r="S21" s="5">
        <f t="shared" ref="S21" si="72">R21*(1+$B$5)</f>
        <v>385496700.37018085</v>
      </c>
      <c r="T21" s="5">
        <f t="shared" ref="T21" si="73">S21*(1+$B$5)</f>
        <v>348670647.97496086</v>
      </c>
      <c r="U21" s="5">
        <f t="shared" ref="U21" si="74">T21*(1+$B$5)</f>
        <v>315362545.6262995</v>
      </c>
    </row>
    <row r="22" spans="1:21" x14ac:dyDescent="0.35">
      <c r="A22" s="17" t="str">
        <v>High growth scenario</v>
      </c>
      <c r="B22" s="5">
        <f>ITU!D$6*(1-$B$8)</f>
        <v>2428420000</v>
      </c>
      <c r="C22" s="5">
        <f>ITU!E$6*(1-$B$8)</f>
        <v>2042636000</v>
      </c>
      <c r="D22" s="5">
        <f>ITU!F$6*(1-$B$8)</f>
        <v>1775344000</v>
      </c>
      <c r="E22" s="5">
        <f>ITU!G$6*(1-$B$8)</f>
        <v>1572152000</v>
      </c>
      <c r="F22" s="5">
        <f>E22*(1+$B$6)</f>
        <v>1651668602.8779716</v>
      </c>
      <c r="G22" s="5">
        <f t="shared" ref="G22" si="75">F22*(1+$B$6)</f>
        <v>1735207011.6202955</v>
      </c>
      <c r="H22" s="5">
        <f t="shared" ref="H22" si="76">G22*(1+$B$6)</f>
        <v>1822970641.8889229</v>
      </c>
      <c r="I22" s="5">
        <f t="shared" ref="I22" si="77">H22*(1+$B$6)</f>
        <v>1915173197.7418447</v>
      </c>
      <c r="J22" s="5">
        <f t="shared" ref="J22" si="78">I22*(1+$B$6)</f>
        <v>2012039192.001543</v>
      </c>
      <c r="K22" s="5">
        <f t="shared" ref="K22" si="79">J22*(1+$B$6)</f>
        <v>2113804492.9427381</v>
      </c>
      <c r="L22" s="5">
        <f t="shared" ref="L22" si="80">K22*(1+$B$6)</f>
        <v>2220716898.6306105</v>
      </c>
      <c r="M22" s="5">
        <f t="shared" ref="M22" si="81">L22*(1+$B$6)</f>
        <v>2333036740.3080125</v>
      </c>
      <c r="N22" s="5">
        <f t="shared" ref="N22" si="82">M22*(1+$B$6)</f>
        <v>2451037516.3009124</v>
      </c>
      <c r="O22" s="5">
        <f t="shared" ref="O22" si="83">N22*(1+$B$6)</f>
        <v>2575006557.9856281</v>
      </c>
      <c r="P22" s="5">
        <f t="shared" ref="P22" si="84">O22*(1+$B$6)</f>
        <v>2705245729.4394798</v>
      </c>
      <c r="Q22" s="5">
        <f t="shared" ref="Q22" si="85">P22*(1+$B$6)</f>
        <v>2842072162.4785037</v>
      </c>
      <c r="R22" s="5">
        <f t="shared" ref="R22" si="86">Q22*(1+$B$6)</f>
        <v>2985819028.8720465</v>
      </c>
      <c r="S22" s="5">
        <f t="shared" ref="S22" si="87">R22*(1+$B$6)</f>
        <v>3136836351.6145735</v>
      </c>
      <c r="T22" s="5">
        <f t="shared" ref="T22" si="88">S22*(1+$B$6)</f>
        <v>3295491857.2301383</v>
      </c>
      <c r="U22" s="5">
        <f t="shared" ref="U22" si="89">T22*(1+$B$6)</f>
        <v>3462171871.1848693</v>
      </c>
    </row>
    <row r="24" spans="1:21" x14ac:dyDescent="0.35">
      <c r="A24" s="48" t="s">
        <v>179</v>
      </c>
      <c r="B24" s="49"/>
      <c r="C24" s="49"/>
      <c r="D24" s="49"/>
      <c r="E24" s="49"/>
      <c r="F24" s="49"/>
      <c r="G24" s="49"/>
      <c r="H24" s="49"/>
      <c r="I24" s="49"/>
      <c r="J24" s="49"/>
      <c r="K24" s="49"/>
      <c r="L24" s="49"/>
      <c r="M24" s="49"/>
      <c r="N24" s="49"/>
      <c r="O24" s="49"/>
      <c r="P24" s="49"/>
      <c r="Q24" s="49"/>
      <c r="R24" s="49"/>
      <c r="S24" s="49"/>
      <c r="T24" s="49"/>
      <c r="U24" s="49"/>
    </row>
    <row r="26" spans="1:21" x14ac:dyDescent="0.35">
      <c r="A26" s="196"/>
      <c r="B26" s="52">
        <f t="shared" ref="B26:U29" si="90">B19</f>
        <v>2018</v>
      </c>
      <c r="C26" s="52">
        <f t="shared" si="90"/>
        <v>2019</v>
      </c>
      <c r="D26" s="52">
        <f t="shared" si="90"/>
        <v>2020</v>
      </c>
      <c r="E26" s="52">
        <f t="shared" si="90"/>
        <v>2021</v>
      </c>
      <c r="F26" s="52">
        <f t="shared" si="90"/>
        <v>2022</v>
      </c>
      <c r="G26" s="52">
        <f t="shared" si="90"/>
        <v>2023</v>
      </c>
      <c r="H26" s="52">
        <f t="shared" si="90"/>
        <v>2024</v>
      </c>
      <c r="I26" s="52">
        <f t="shared" si="90"/>
        <v>2025</v>
      </c>
      <c r="J26" s="52">
        <f t="shared" si="90"/>
        <v>2026</v>
      </c>
      <c r="K26" s="52">
        <f t="shared" si="90"/>
        <v>2027</v>
      </c>
      <c r="L26" s="52">
        <f t="shared" si="90"/>
        <v>2028</v>
      </c>
      <c r="M26" s="52">
        <f t="shared" si="90"/>
        <v>2029</v>
      </c>
      <c r="N26" s="52">
        <f t="shared" si="90"/>
        <v>2030</v>
      </c>
      <c r="O26" s="52">
        <f t="shared" si="90"/>
        <v>2031</v>
      </c>
      <c r="P26" s="52">
        <f t="shared" si="90"/>
        <v>2032</v>
      </c>
      <c r="Q26" s="52">
        <f t="shared" si="90"/>
        <v>2033</v>
      </c>
      <c r="R26" s="52">
        <f t="shared" si="90"/>
        <v>2034</v>
      </c>
      <c r="S26" s="52">
        <f t="shared" si="90"/>
        <v>2035</v>
      </c>
      <c r="T26" s="52">
        <f t="shared" si="90"/>
        <v>2036</v>
      </c>
      <c r="U26" s="52">
        <f t="shared" si="90"/>
        <v>2037</v>
      </c>
    </row>
    <row r="27" spans="1:21" x14ac:dyDescent="0.35">
      <c r="A27" s="17" t="str">
        <f t="shared" ref="A27:P29" si="91">A20</f>
        <v>Low growth scenario</v>
      </c>
      <c r="B27" s="5">
        <f t="shared" si="91"/>
        <v>2428420000</v>
      </c>
      <c r="C27" s="5">
        <f t="shared" si="91"/>
        <v>2042636000</v>
      </c>
      <c r="D27" s="5">
        <f t="shared" si="91"/>
        <v>1775344000</v>
      </c>
      <c r="E27" s="5">
        <f t="shared" si="91"/>
        <v>1572152000</v>
      </c>
      <c r="F27" s="5">
        <f t="shared" si="91"/>
        <v>1360039253.0763125</v>
      </c>
      <c r="G27" s="5">
        <f t="shared" si="91"/>
        <v>1176544488.0064867</v>
      </c>
      <c r="H27" s="5">
        <f t="shared" si="91"/>
        <v>1017806603.1016052</v>
      </c>
      <c r="I27" s="5">
        <f t="shared" si="91"/>
        <v>880485431.59850073</v>
      </c>
      <c r="J27" s="5">
        <f t="shared" si="91"/>
        <v>761691457.78258061</v>
      </c>
      <c r="K27" s="5">
        <f t="shared" si="91"/>
        <v>658925015.72190773</v>
      </c>
      <c r="L27" s="5">
        <f t="shared" si="91"/>
        <v>570023691.23069584</v>
      </c>
      <c r="M27" s="5">
        <f t="shared" si="91"/>
        <v>493116820.29294765</v>
      </c>
      <c r="N27" s="5">
        <f t="shared" si="91"/>
        <v>426586126.50086427</v>
      </c>
      <c r="O27" s="5">
        <f t="shared" si="91"/>
        <v>369031669.23996717</v>
      </c>
      <c r="P27" s="5">
        <f t="shared" si="91"/>
        <v>319242386.10174447</v>
      </c>
      <c r="Q27" s="5">
        <f t="shared" si="90"/>
        <v>276170609.67649204</v>
      </c>
      <c r="R27" s="5">
        <f t="shared" si="90"/>
        <v>238910022.5080311</v>
      </c>
      <c r="S27" s="5">
        <f t="shared" si="90"/>
        <v>206676586.33787805</v>
      </c>
      <c r="T27" s="5">
        <f t="shared" si="90"/>
        <v>178792044.35151926</v>
      </c>
      <c r="U27" s="5">
        <f t="shared" si="90"/>
        <v>154669649.2806212</v>
      </c>
    </row>
    <row r="28" spans="1:21" x14ac:dyDescent="0.35">
      <c r="A28" s="17" t="str">
        <f t="shared" si="91"/>
        <v>Medium growth scenario</v>
      </c>
      <c r="B28" s="5">
        <f t="shared" si="90"/>
        <v>2428420000</v>
      </c>
      <c r="C28" s="5">
        <f t="shared" si="90"/>
        <v>2042636000</v>
      </c>
      <c r="D28" s="5">
        <f t="shared" si="90"/>
        <v>1775344000</v>
      </c>
      <c r="E28" s="5">
        <f t="shared" si="90"/>
        <v>1572152000</v>
      </c>
      <c r="F28" s="5">
        <f t="shared" si="90"/>
        <v>1421966144.0130253</v>
      </c>
      <c r="G28" s="5">
        <f t="shared" si="90"/>
        <v>1286127368.5491426</v>
      </c>
      <c r="H28" s="5">
        <f t="shared" si="90"/>
        <v>1163265113.6565952</v>
      </c>
      <c r="I28" s="5">
        <f t="shared" si="90"/>
        <v>1052139747.3852034</v>
      </c>
      <c r="J28" s="5">
        <f t="shared" si="90"/>
        <v>951630058.38632405</v>
      </c>
      <c r="K28" s="5">
        <f t="shared" si="90"/>
        <v>860721943.33021951</v>
      </c>
      <c r="L28" s="5">
        <f t="shared" si="90"/>
        <v>778498175.00131655</v>
      </c>
      <c r="M28" s="5">
        <f t="shared" si="90"/>
        <v>704129147.83545065</v>
      </c>
      <c r="N28" s="5">
        <f t="shared" si="90"/>
        <v>636864507.52519679</v>
      </c>
      <c r="O28" s="5">
        <f t="shared" si="90"/>
        <v>576025580.23928881</v>
      </c>
      <c r="P28" s="5">
        <f t="shared" si="90"/>
        <v>520998525.06992137</v>
      </c>
      <c r="Q28" s="5">
        <f t="shared" si="90"/>
        <v>471228140.61881393</v>
      </c>
      <c r="R28" s="5">
        <f t="shared" si="90"/>
        <v>426212263.23292053</v>
      </c>
      <c r="S28" s="5">
        <f t="shared" si="90"/>
        <v>385496700.37018085</v>
      </c>
      <c r="T28" s="5">
        <f t="shared" si="90"/>
        <v>348670647.97496086</v>
      </c>
      <c r="U28" s="5">
        <f t="shared" si="90"/>
        <v>315362545.6262995</v>
      </c>
    </row>
    <row r="29" spans="1:21" x14ac:dyDescent="0.35">
      <c r="A29" s="17" t="str">
        <f t="shared" si="91"/>
        <v>High growth scenario</v>
      </c>
      <c r="B29" s="5">
        <f t="shared" si="90"/>
        <v>2428420000</v>
      </c>
      <c r="C29" s="5">
        <f t="shared" si="90"/>
        <v>2042636000</v>
      </c>
      <c r="D29" s="5">
        <f t="shared" si="90"/>
        <v>1775344000</v>
      </c>
      <c r="E29" s="5">
        <f t="shared" si="90"/>
        <v>1572152000</v>
      </c>
      <c r="F29" s="5">
        <f t="shared" si="90"/>
        <v>1651668602.8779716</v>
      </c>
      <c r="G29" s="5">
        <f t="shared" si="90"/>
        <v>1735207011.6202955</v>
      </c>
      <c r="H29" s="5">
        <f t="shared" si="90"/>
        <v>1822970641.8889229</v>
      </c>
      <c r="I29" s="5">
        <f t="shared" si="90"/>
        <v>1915173197.7418447</v>
      </c>
      <c r="J29" s="5">
        <f t="shared" si="90"/>
        <v>2012039192.001543</v>
      </c>
      <c r="K29" s="5">
        <f t="shared" si="90"/>
        <v>2113804492.9427381</v>
      </c>
      <c r="L29" s="5">
        <f t="shared" si="90"/>
        <v>2220716898.6306105</v>
      </c>
      <c r="M29" s="5">
        <f t="shared" si="90"/>
        <v>2333036740.3080125</v>
      </c>
      <c r="N29" s="5">
        <f t="shared" si="90"/>
        <v>2451037516.3009124</v>
      </c>
      <c r="O29" s="5">
        <f t="shared" si="90"/>
        <v>2575006557.9856281</v>
      </c>
      <c r="P29" s="5">
        <f t="shared" si="90"/>
        <v>2705245729.4394798</v>
      </c>
      <c r="Q29" s="5">
        <f t="shared" si="90"/>
        <v>2842072162.4785037</v>
      </c>
      <c r="R29" s="5">
        <f t="shared" si="90"/>
        <v>2985819028.8720465</v>
      </c>
      <c r="S29" s="5">
        <f t="shared" si="90"/>
        <v>3136836351.6145735</v>
      </c>
      <c r="T29" s="5">
        <f t="shared" si="90"/>
        <v>3295491857.2301383</v>
      </c>
      <c r="U29" s="5">
        <f t="shared" si="90"/>
        <v>3462171871.1848693</v>
      </c>
    </row>
    <row r="31" spans="1:21" x14ac:dyDescent="0.35">
      <c r="A31" s="48" t="str">
        <f>ITU!A7</f>
        <v>Fixed to Mobile Telephone traffic</v>
      </c>
      <c r="B31" s="49"/>
      <c r="C31" s="49"/>
      <c r="D31" s="49"/>
      <c r="E31" s="49"/>
      <c r="F31" s="49"/>
      <c r="G31" s="49"/>
      <c r="H31" s="49"/>
      <c r="I31" s="49"/>
      <c r="J31" s="49"/>
      <c r="K31" s="49"/>
      <c r="L31" s="49"/>
      <c r="M31" s="49"/>
      <c r="N31" s="49"/>
      <c r="O31" s="49"/>
      <c r="P31" s="49"/>
      <c r="Q31" s="49"/>
      <c r="R31" s="49"/>
      <c r="S31" s="49"/>
      <c r="T31" s="49"/>
      <c r="U31" s="49"/>
    </row>
    <row r="33" spans="1:21" x14ac:dyDescent="0.35">
      <c r="A33" s="196"/>
      <c r="B33" s="52" cm="1">
        <f t="array" ref="B33:U33">years</f>
        <v>2018</v>
      </c>
      <c r="C33" s="52">
        <v>2019</v>
      </c>
      <c r="D33" s="52">
        <v>2020</v>
      </c>
      <c r="E33" s="52">
        <v>2021</v>
      </c>
      <c r="F33" s="52">
        <v>2022</v>
      </c>
      <c r="G33" s="52">
        <v>2023</v>
      </c>
      <c r="H33" s="52">
        <v>2024</v>
      </c>
      <c r="I33" s="52">
        <v>2025</v>
      </c>
      <c r="J33" s="52">
        <v>2026</v>
      </c>
      <c r="K33" s="52">
        <v>2027</v>
      </c>
      <c r="L33" s="52">
        <v>2028</v>
      </c>
      <c r="M33" s="52">
        <v>2029</v>
      </c>
      <c r="N33" s="52">
        <v>2030</v>
      </c>
      <c r="O33" s="52">
        <v>2031</v>
      </c>
      <c r="P33" s="52">
        <v>2032</v>
      </c>
      <c r="Q33" s="52">
        <v>2033</v>
      </c>
      <c r="R33" s="52">
        <v>2034</v>
      </c>
      <c r="S33" s="52">
        <v>2035</v>
      </c>
      <c r="T33" s="52">
        <v>2036</v>
      </c>
      <c r="U33" s="52">
        <v>2037</v>
      </c>
    </row>
    <row r="34" spans="1:21" x14ac:dyDescent="0.35">
      <c r="A34" s="17" t="str" cm="1">
        <f t="array" ref="A34:A36">growth_scenarios</f>
        <v>Low growth scenario</v>
      </c>
      <c r="B34" s="5">
        <f>ITU!D$7</f>
        <v>8144270000</v>
      </c>
      <c r="C34" s="5">
        <f>ITU!E$7</f>
        <v>5948320000</v>
      </c>
      <c r="D34" s="5">
        <f>ITU!F$7</f>
        <v>6424540000</v>
      </c>
      <c r="E34" s="5">
        <f>ITU!G$7</f>
        <v>6026100000</v>
      </c>
      <c r="F34" s="5">
        <f>E34*(1+$B$4)</f>
        <v>5213066257.5648966</v>
      </c>
      <c r="G34" s="5">
        <f t="shared" ref="G34" si="92">F34*(1+$B$4)</f>
        <v>4509725992.8912029</v>
      </c>
      <c r="H34" s="5">
        <f t="shared" ref="H34" si="93">G34*(1+$B$4)</f>
        <v>3901279501.568922</v>
      </c>
      <c r="I34" s="5">
        <f t="shared" ref="I34" si="94">H34*(1+$B$4)</f>
        <v>3374923836.4711084</v>
      </c>
      <c r="J34" s="5">
        <f t="shared" ref="J34" si="95">I34*(1+$B$4)</f>
        <v>2919583407.8025594</v>
      </c>
      <c r="K34" s="5">
        <f t="shared" ref="K34" si="96">J34*(1+$B$4)</f>
        <v>2525676930.2470679</v>
      </c>
      <c r="L34" s="5">
        <f t="shared" ref="L34" si="97">K34*(1+$B$4)</f>
        <v>2184915813.3089523</v>
      </c>
      <c r="M34" s="5">
        <f t="shared" ref="M34" si="98">L34*(1+$B$4)</f>
        <v>1890129752.5731173</v>
      </c>
      <c r="N34" s="5">
        <f t="shared" ref="N34" si="99">M34*(1+$B$4)</f>
        <v>1635115851.9703298</v>
      </c>
      <c r="O34" s="5">
        <f t="shared" ref="O34" si="100">N34*(1+$B$4)</f>
        <v>1414508102.2744403</v>
      </c>
      <c r="P34" s="5">
        <f t="shared" ref="P34" si="101">O34*(1+$B$4)</f>
        <v>1223664469.39464</v>
      </c>
      <c r="Q34" s="5">
        <f t="shared" ref="Q34" si="102">P34*(1+$B$4)</f>
        <v>1058569216.5716219</v>
      </c>
      <c r="R34" s="5">
        <f t="shared" ref="R34" si="103">Q34*(1+$B$4)</f>
        <v>915748405.13871813</v>
      </c>
      <c r="S34" s="5">
        <f t="shared" ref="S34" si="104">R34*(1+$B$4)</f>
        <v>792196795.812801</v>
      </c>
      <c r="T34" s="5">
        <f t="shared" ref="T34" si="105">S34*(1+$B$4)</f>
        <v>685314612.36998081</v>
      </c>
      <c r="U34" s="5">
        <f t="shared" ref="U34" si="106">T34*(1+$B$4)</f>
        <v>592852837.0856961</v>
      </c>
    </row>
    <row r="35" spans="1:21" x14ac:dyDescent="0.35">
      <c r="A35" s="17" t="str">
        <v>Medium growth scenario</v>
      </c>
      <c r="B35" s="5">
        <f>ITU!D$7</f>
        <v>8144270000</v>
      </c>
      <c r="C35" s="5">
        <f>ITU!E$7</f>
        <v>5948320000</v>
      </c>
      <c r="D35" s="5">
        <f>ITU!F$7</f>
        <v>6424540000</v>
      </c>
      <c r="E35" s="5">
        <f>ITU!G$7</f>
        <v>6026100000</v>
      </c>
      <c r="F35" s="5">
        <f>E35*(1+$B$5)</f>
        <v>5450433660.6364346</v>
      </c>
      <c r="G35" s="5">
        <f t="shared" ref="G35" si="107">F35*(1+$B$5)</f>
        <v>4929760058.5782986</v>
      </c>
      <c r="H35" s="5">
        <f t="shared" ref="H35" si="108">G35*(1+$B$5)</f>
        <v>4458825801.4530458</v>
      </c>
      <c r="I35" s="5">
        <f t="shared" ref="I35" si="109">H35*(1+$B$5)</f>
        <v>4032879347.3646154</v>
      </c>
      <c r="J35" s="5">
        <f t="shared" ref="J35" si="110">I35*(1+$B$5)</f>
        <v>3647623063.6998382</v>
      </c>
      <c r="K35" s="5">
        <f t="shared" ref="K35" si="111">J35*(1+$B$5)</f>
        <v>3299169865.7014313</v>
      </c>
      <c r="L35" s="5">
        <f t="shared" ref="L35" si="112">K35*(1+$B$5)</f>
        <v>2984003997.3077888</v>
      </c>
      <c r="M35" s="5">
        <f t="shared" ref="M35" si="113">L35*(1+$B$5)</f>
        <v>2698945558.5536323</v>
      </c>
      <c r="N35" s="5">
        <f t="shared" ref="N35" si="114">M35*(1+$B$5)</f>
        <v>2441118421.6269097</v>
      </c>
      <c r="O35" s="5">
        <f t="shared" ref="O35" si="115">N35*(1+$B$5)</f>
        <v>2207921211.8675418</v>
      </c>
      <c r="P35" s="5">
        <f t="shared" ref="P35" si="116">O35*(1+$B$5)</f>
        <v>1997001060.9176812</v>
      </c>
      <c r="Q35" s="5">
        <f t="shared" ref="Q35" si="117">P35*(1+$B$5)</f>
        <v>1806229867.2030668</v>
      </c>
      <c r="R35" s="5">
        <f t="shared" ref="R35" si="118">Q35*(1+$B$5)</f>
        <v>1633682824.2230418</v>
      </c>
      <c r="S35" s="5">
        <f t="shared" ref="S35" si="119">R35*(1+$B$5)</f>
        <v>1477619000.0081084</v>
      </c>
      <c r="T35" s="5">
        <f t="shared" ref="T35" si="120">S35*(1+$B$5)</f>
        <v>1336463771.7993631</v>
      </c>
      <c r="U35" s="5">
        <f t="shared" ref="U35" si="121">T35*(1+$B$5)</f>
        <v>1208792938.7226198</v>
      </c>
    </row>
    <row r="36" spans="1:21" x14ac:dyDescent="0.35">
      <c r="A36" s="17" t="str">
        <v>High growth scenario</v>
      </c>
      <c r="B36" s="5">
        <f>ITU!D$7</f>
        <v>8144270000</v>
      </c>
      <c r="C36" s="5">
        <f>ITU!E$7</f>
        <v>5948320000</v>
      </c>
      <c r="D36" s="5">
        <f>ITU!F$7</f>
        <v>6424540000</v>
      </c>
      <c r="E36" s="5">
        <f>ITU!G$7</f>
        <v>6026100000</v>
      </c>
      <c r="F36" s="5">
        <f>E36*(1+$B$6)</f>
        <v>6330889231.9590883</v>
      </c>
      <c r="G36" s="5">
        <f t="shared" ref="G36" si="122">F36*(1+$B$6)</f>
        <v>6651094151.6628561</v>
      </c>
      <c r="H36" s="5">
        <f t="shared" ref="H36" si="123">G36*(1+$B$6)</f>
        <v>6987494456.6981039</v>
      </c>
      <c r="I36" s="5">
        <f t="shared" ref="I36" si="124">H36*(1+$B$6)</f>
        <v>7340909280.3444757</v>
      </c>
      <c r="J36" s="5">
        <f t="shared" ref="J36" si="125">I36*(1+$B$6)</f>
        <v>7712199186.1604328</v>
      </c>
      <c r="K36" s="5">
        <f t="shared" ref="K36" si="126">J36*(1+$B$6)</f>
        <v>8102268263.4517727</v>
      </c>
      <c r="L36" s="5">
        <f t="shared" ref="L36" si="127">K36*(1+$B$6)</f>
        <v>8512066328.7251606</v>
      </c>
      <c r="M36" s="5">
        <f t="shared" ref="M36" si="128">L36*(1+$B$6)</f>
        <v>8942591238.4871883</v>
      </c>
      <c r="N36" s="5">
        <f t="shared" ref="N36" si="129">M36*(1+$B$6)</f>
        <v>9394891319.0206318</v>
      </c>
      <c r="O36" s="5">
        <f t="shared" ref="O36" si="130">N36*(1+$B$6)</f>
        <v>9870067919.0543861</v>
      </c>
      <c r="P36" s="5">
        <f t="shared" ref="P36" si="131">O36*(1+$B$6)</f>
        <v>10369278091.542831</v>
      </c>
      <c r="Q36" s="5">
        <f t="shared" ref="Q36" si="132">P36*(1+$B$6)</f>
        <v>10893737411.084747</v>
      </c>
      <c r="R36" s="5">
        <f t="shared" ref="R36" si="133">Q36*(1+$B$6)</f>
        <v>11444722933.842171</v>
      </c>
      <c r="S36" s="5">
        <f t="shared" ref="S36" si="134">R36*(1+$B$6)</f>
        <v>12023576307.166595</v>
      </c>
      <c r="T36" s="5">
        <f t="shared" ref="T36" si="135">S36*(1+$B$6)</f>
        <v>12631707036.504442</v>
      </c>
      <c r="U36" s="5">
        <f t="shared" ref="U36" si="136">T36*(1+$B$6)</f>
        <v>13270595917.536686</v>
      </c>
    </row>
    <row r="38" spans="1:21" x14ac:dyDescent="0.35">
      <c r="A38" s="48" t="str">
        <f>ITU!A11</f>
        <v>Outgoing mobile traffic to fixed networks</v>
      </c>
      <c r="B38" s="49"/>
      <c r="C38" s="49"/>
      <c r="D38" s="49"/>
      <c r="E38" s="49"/>
      <c r="F38" s="49"/>
      <c r="G38" s="49"/>
      <c r="H38" s="49"/>
      <c r="I38" s="49"/>
      <c r="J38" s="49"/>
      <c r="K38" s="49"/>
      <c r="L38" s="49"/>
      <c r="M38" s="49"/>
      <c r="N38" s="49"/>
      <c r="O38" s="49"/>
      <c r="P38" s="49"/>
      <c r="Q38" s="49"/>
      <c r="R38" s="49"/>
      <c r="S38" s="49"/>
      <c r="T38" s="49"/>
      <c r="U38" s="49"/>
    </row>
    <row r="40" spans="1:21" x14ac:dyDescent="0.35">
      <c r="A40" s="196"/>
      <c r="B40" s="52" cm="1">
        <f t="array" ref="B40:U40">years</f>
        <v>2018</v>
      </c>
      <c r="C40" s="52">
        <v>2019</v>
      </c>
      <c r="D40" s="52">
        <v>2020</v>
      </c>
      <c r="E40" s="52">
        <v>2021</v>
      </c>
      <c r="F40" s="52">
        <v>2022</v>
      </c>
      <c r="G40" s="52">
        <v>2023</v>
      </c>
      <c r="H40" s="52">
        <v>2024</v>
      </c>
      <c r="I40" s="52">
        <v>2025</v>
      </c>
      <c r="J40" s="52">
        <v>2026</v>
      </c>
      <c r="K40" s="52">
        <v>2027</v>
      </c>
      <c r="L40" s="52">
        <v>2028</v>
      </c>
      <c r="M40" s="52">
        <v>2029</v>
      </c>
      <c r="N40" s="52">
        <v>2030</v>
      </c>
      <c r="O40" s="52">
        <v>2031</v>
      </c>
      <c r="P40" s="52">
        <v>2032</v>
      </c>
      <c r="Q40" s="52">
        <v>2033</v>
      </c>
      <c r="R40" s="52">
        <v>2034</v>
      </c>
      <c r="S40" s="52">
        <v>2035</v>
      </c>
      <c r="T40" s="52">
        <v>2036</v>
      </c>
      <c r="U40" s="52">
        <v>2037</v>
      </c>
    </row>
    <row r="41" spans="1:21" x14ac:dyDescent="0.35">
      <c r="A41" s="17" t="str" cm="1">
        <f t="array" ref="A41:A43">growth_scenarios</f>
        <v>Low growth scenario</v>
      </c>
      <c r="B41" s="4">
        <f>ITU!D11</f>
        <v>2366640000</v>
      </c>
      <c r="C41" s="4">
        <f>ITU!E11</f>
        <v>2463320000</v>
      </c>
      <c r="D41" s="4">
        <f>ITU!F11</f>
        <v>2945570000</v>
      </c>
      <c r="E41" s="4">
        <f>ITU!G11</f>
        <v>2744210000</v>
      </c>
      <c r="F41" s="5">
        <f>E41*(1+$B$4)</f>
        <v>2373964679.423203</v>
      </c>
      <c r="G41" s="5">
        <f t="shared" ref="G41" si="137">F41*(1+$B$4)</f>
        <v>2053672386.2783501</v>
      </c>
      <c r="H41" s="5">
        <f t="shared" ref="H41" si="138">G41*(1+$B$4)</f>
        <v>1776593521.6807635</v>
      </c>
      <c r="I41" s="5">
        <f t="shared" ref="I41" si="139">H41*(1+$B$4)</f>
        <v>1536897784.8496337</v>
      </c>
      <c r="J41" s="5">
        <f t="shared" ref="J41" si="140">I41*(1+$B$4)</f>
        <v>1329541491.7651315</v>
      </c>
      <c r="K41" s="5">
        <f t="shared" ref="K41" si="141">J41*(1+$B$4)</f>
        <v>1150161445.8361633</v>
      </c>
      <c r="L41" s="5">
        <f t="shared" ref="L41" si="142">K41*(1+$B$4)</f>
        <v>994983127.40255857</v>
      </c>
      <c r="M41" s="5">
        <f t="shared" ref="M41" si="143">L41*(1+$B$4)</f>
        <v>860741270.19277358</v>
      </c>
      <c r="N41" s="5">
        <f t="shared" ref="N41" si="144">M41*(1+$B$4)</f>
        <v>744611153.50483692</v>
      </c>
      <c r="O41" s="5">
        <f t="shared" ref="O41" si="145">N41*(1+$B$4)</f>
        <v>644149164.358796</v>
      </c>
      <c r="P41" s="5">
        <f t="shared" ref="P41" si="146">O41*(1+$B$4)</f>
        <v>557241378.92790759</v>
      </c>
      <c r="Q41" s="5">
        <f t="shared" ref="Q41" si="147">P41*(1+$B$4)</f>
        <v>482059081.29768997</v>
      </c>
      <c r="R41" s="5">
        <f t="shared" ref="R41" si="148">Q41*(1+$B$4)</f>
        <v>417020283.5773918</v>
      </c>
      <c r="S41" s="5">
        <f t="shared" ref="S41" si="149">R41*(1+$B$4)</f>
        <v>360756437.6690473</v>
      </c>
      <c r="T41" s="5">
        <f t="shared" ref="T41" si="150">S41*(1+$B$4)</f>
        <v>312083638.24228346</v>
      </c>
      <c r="U41" s="5">
        <f t="shared" ref="U41" si="151">T41*(1+$B$4)</f>
        <v>269977710.967116</v>
      </c>
    </row>
    <row r="42" spans="1:21" x14ac:dyDescent="0.35">
      <c r="A42" s="17" t="str">
        <v>Medium growth scenario</v>
      </c>
      <c r="B42" s="4">
        <f>ITU!D$11</f>
        <v>2366640000</v>
      </c>
      <c r="C42" s="4">
        <f>ITU!E$11</f>
        <v>2463320000</v>
      </c>
      <c r="D42" s="4">
        <f>ITU!F$11</f>
        <v>2945570000</v>
      </c>
      <c r="E42" s="4">
        <f>ITU!G$11</f>
        <v>2744210000</v>
      </c>
      <c r="F42" s="5">
        <f>E42*(1+$B$5)</f>
        <v>2482058803.5138993</v>
      </c>
      <c r="G42" s="5">
        <f t="shared" ref="G42" si="152">F42*(1+$B$5)</f>
        <v>2244950606.5865402</v>
      </c>
      <c r="H42" s="5">
        <f t="shared" ref="H42" si="153">G42*(1+$B$5)</f>
        <v>2030493080.5339208</v>
      </c>
      <c r="I42" s="5">
        <f t="shared" ref="I42" si="154">H42*(1+$B$5)</f>
        <v>1836522433.0547864</v>
      </c>
      <c r="J42" s="5">
        <f t="shared" ref="J42" si="155">I42*(1+$B$5)</f>
        <v>1661081576.4152157</v>
      </c>
      <c r="K42" s="5">
        <f t="shared" ref="K42" si="156">J42*(1+$B$5)</f>
        <v>1502400381.2011955</v>
      </c>
      <c r="L42" s="5">
        <f t="shared" ref="L42" si="157">K42*(1+$B$5)</f>
        <v>1358877816.4072959</v>
      </c>
      <c r="M42" s="5">
        <f t="shared" ref="M42" si="158">L42*(1+$B$5)</f>
        <v>1229065795.6619477</v>
      </c>
      <c r="N42" s="5">
        <f t="shared" ref="N42" si="159">M42*(1+$B$5)</f>
        <v>1111654566.6040692</v>
      </c>
      <c r="O42" s="5">
        <f t="shared" ref="O42" si="160">N42*(1+$B$5)</f>
        <v>1005459495.9955902</v>
      </c>
      <c r="P42" s="5">
        <f t="shared" ref="P42" si="161">O42*(1+$B$5)</f>
        <v>909409117.23683798</v>
      </c>
      <c r="Q42" s="5">
        <f t="shared" ref="Q42" si="162">P42*(1+$B$5)</f>
        <v>822534319.68890774</v>
      </c>
      <c r="R42" s="5">
        <f t="shared" ref="R42" si="163">Q42*(1+$B$5)</f>
        <v>743958570.7275207</v>
      </c>
      <c r="S42" s="5">
        <f t="shared" ref="S42" si="164">R42*(1+$B$5)</f>
        <v>672889071.87272871</v>
      </c>
      <c r="T42" s="5">
        <f t="shared" ref="T42" si="165">S42*(1+$B$5)</f>
        <v>608608759.76328468</v>
      </c>
      <c r="U42" s="5">
        <f t="shared" ref="U42" si="166">T42*(1+$B$5)</f>
        <v>550469071.26864803</v>
      </c>
    </row>
    <row r="43" spans="1:21" x14ac:dyDescent="0.35">
      <c r="A43" s="17" t="str">
        <v>High growth scenario</v>
      </c>
      <c r="B43" s="4">
        <f>ITU!D$11</f>
        <v>2366640000</v>
      </c>
      <c r="C43" s="4">
        <f>ITU!E$11</f>
        <v>2463320000</v>
      </c>
      <c r="D43" s="4">
        <f>ITU!F$11</f>
        <v>2945570000</v>
      </c>
      <c r="E43" s="4">
        <f>ITU!G$11</f>
        <v>2744210000</v>
      </c>
      <c r="F43" s="5">
        <f>E43*(1+$B$6)</f>
        <v>2883007175.326405</v>
      </c>
      <c r="G43" s="5">
        <f t="shared" ref="G43" si="167">F43*(1+$B$6)</f>
        <v>3028824460.5855737</v>
      </c>
      <c r="H43" s="5">
        <f t="shared" ref="H43" si="168">G43*(1+$B$6)</f>
        <v>3182016920.232904</v>
      </c>
      <c r="I43" s="5">
        <f t="shared" ref="I43" si="169">H43*(1+$B$6)</f>
        <v>3342957577.2413526</v>
      </c>
      <c r="J43" s="5">
        <f t="shared" ref="J43" si="170">I43*(1+$B$6)</f>
        <v>3512038321.4107504</v>
      </c>
      <c r="K43" s="5">
        <f t="shared" ref="K43" si="171">J43*(1+$B$6)</f>
        <v>3689670863.6177611</v>
      </c>
      <c r="L43" s="5">
        <f t="shared" ref="L43" si="172">K43*(1+$B$6)</f>
        <v>3876287738.3300767</v>
      </c>
      <c r="M43" s="5">
        <f t="shared" ref="M43" si="173">L43*(1+$B$6)</f>
        <v>4072343356.8259621</v>
      </c>
      <c r="N43" s="5">
        <f t="shared" ref="N43" si="174">M43*(1+$B$6)</f>
        <v>4278315113.6837444</v>
      </c>
      <c r="O43" s="5">
        <f t="shared" ref="O43" si="175">N43*(1+$B$6)</f>
        <v>4494704549.2355318</v>
      </c>
      <c r="P43" s="5">
        <f t="shared" ref="P43" si="176">O43*(1+$B$6)</f>
        <v>4722038570.8157444</v>
      </c>
      <c r="Q43" s="5">
        <f t="shared" ref="Q43" si="177">P43*(1+$B$6)</f>
        <v>4960870735.7781782</v>
      </c>
      <c r="R43" s="5">
        <f t="shared" ref="R43" si="178">Q43*(1+$B$6)</f>
        <v>5211782599.405756</v>
      </c>
      <c r="S43" s="5">
        <f t="shared" ref="S43" si="179">R43*(1+$B$6)</f>
        <v>5475385130.9951124</v>
      </c>
      <c r="T43" s="5">
        <f t="shared" ref="T43" si="180">S43*(1+$B$6)</f>
        <v>5752320201.5641727</v>
      </c>
      <c r="U43" s="5">
        <f t="shared" ref="U43" si="181">T43*(1+$B$6)</f>
        <v>6043262146.8052893</v>
      </c>
    </row>
    <row r="45" spans="1:21" x14ac:dyDescent="0.35">
      <c r="A45" s="48" t="str">
        <f>ITU!A8</f>
        <v xml:space="preserve">International incoming fixed telephone traffic </v>
      </c>
      <c r="B45" s="49"/>
      <c r="C45" s="49"/>
      <c r="D45" s="49"/>
      <c r="E45" s="49"/>
      <c r="F45" s="49"/>
      <c r="G45" s="49"/>
      <c r="H45" s="49"/>
      <c r="I45" s="49"/>
      <c r="J45" s="49"/>
      <c r="K45" s="49"/>
      <c r="L45" s="49"/>
      <c r="M45" s="49"/>
      <c r="N45" s="49"/>
      <c r="O45" s="49"/>
      <c r="P45" s="49"/>
      <c r="Q45" s="49"/>
      <c r="R45" s="49"/>
      <c r="S45" s="49"/>
      <c r="T45" s="49"/>
      <c r="U45" s="49"/>
    </row>
    <row r="46" spans="1:21" x14ac:dyDescent="0.35">
      <c r="A46" s="21"/>
    </row>
    <row r="47" spans="1:21" x14ac:dyDescent="0.35">
      <c r="A47" s="196"/>
      <c r="B47" s="52" cm="1">
        <f t="array" ref="B47:U47">years</f>
        <v>2018</v>
      </c>
      <c r="C47" s="52">
        <v>2019</v>
      </c>
      <c r="D47" s="52">
        <v>2020</v>
      </c>
      <c r="E47" s="52">
        <v>2021</v>
      </c>
      <c r="F47" s="52">
        <v>2022</v>
      </c>
      <c r="G47" s="52">
        <v>2023</v>
      </c>
      <c r="H47" s="52">
        <v>2024</v>
      </c>
      <c r="I47" s="52">
        <v>2025</v>
      </c>
      <c r="J47" s="52">
        <v>2026</v>
      </c>
      <c r="K47" s="52">
        <v>2027</v>
      </c>
      <c r="L47" s="52">
        <v>2028</v>
      </c>
      <c r="M47" s="52">
        <v>2029</v>
      </c>
      <c r="N47" s="52">
        <v>2030</v>
      </c>
      <c r="O47" s="52">
        <v>2031</v>
      </c>
      <c r="P47" s="52">
        <v>2032</v>
      </c>
      <c r="Q47" s="52">
        <v>2033</v>
      </c>
      <c r="R47" s="52">
        <v>2034</v>
      </c>
      <c r="S47" s="52">
        <v>2035</v>
      </c>
      <c r="T47" s="52">
        <v>2036</v>
      </c>
      <c r="U47" s="52">
        <v>2037</v>
      </c>
    </row>
    <row r="48" spans="1:21" x14ac:dyDescent="0.35">
      <c r="A48" s="17" t="str" cm="1">
        <f t="array" ref="A48:A50">growth_scenarios</f>
        <v>Low growth scenario</v>
      </c>
      <c r="B48" s="5">
        <f>ITU!D$8</f>
        <v>360749000</v>
      </c>
      <c r="C48" s="5">
        <f>ITU!E$8</f>
        <v>158098000</v>
      </c>
      <c r="D48" s="5">
        <f>ITU!F$8</f>
        <v>103175000</v>
      </c>
      <c r="E48" s="5">
        <f>ITU!G$8</f>
        <v>45128600</v>
      </c>
      <c r="F48" s="5">
        <f>E48*(1+$B$4)</f>
        <v>39039906.724273279</v>
      </c>
      <c r="G48" s="5">
        <f t="shared" ref="G48" si="182">F48*(1+$B$4)</f>
        <v>33772692.196078718</v>
      </c>
      <c r="H48" s="5">
        <f t="shared" ref="H48" si="183">G48*(1+$B$4)</f>
        <v>29216123.548315372</v>
      </c>
      <c r="I48" s="5">
        <f t="shared" ref="I48" si="184">H48*(1+$B$4)</f>
        <v>25274321.343251865</v>
      </c>
      <c r="J48" s="5">
        <f t="shared" ref="J48" si="185">I48*(1+$B$4)</f>
        <v>21864342.074867424</v>
      </c>
      <c r="K48" s="5">
        <f t="shared" ref="K48" si="186">J48*(1+$B$4)</f>
        <v>18914432.869409375</v>
      </c>
      <c r="L48" s="5">
        <f t="shared" ref="L48" si="187">K48*(1+$B$4)</f>
        <v>16362521.659530111</v>
      </c>
      <c r="M48" s="5">
        <f t="shared" ref="M48" si="188">L48*(1+$B$4)</f>
        <v>14154911.062207928</v>
      </c>
      <c r="N48" s="5">
        <f t="shared" ref="N48" si="189">M48*(1+$B$4)</f>
        <v>12245148.476996439</v>
      </c>
      <c r="O48" s="5">
        <f t="shared" ref="O48" si="190">N48*(1+$B$4)</f>
        <v>10593048.629180118</v>
      </c>
      <c r="P48" s="5">
        <f t="shared" ref="P48" si="191">O48*(1+$B$4)</f>
        <v>9163847.9901632834</v>
      </c>
      <c r="Q48" s="5">
        <f t="shared" ref="Q48" si="192">P48*(1+$B$4)</f>
        <v>7927473.2823839812</v>
      </c>
      <c r="R48" s="5">
        <f t="shared" ref="R48" si="193">Q48*(1+$B$4)</f>
        <v>6857908.6766139241</v>
      </c>
      <c r="S48" s="5">
        <f t="shared" ref="S48" si="194">R48*(1+$B$4)</f>
        <v>5932648.3661933225</v>
      </c>
      <c r="T48" s="5">
        <f t="shared" ref="T48" si="195">S48*(1+$B$4)</f>
        <v>5132222.9992532358</v>
      </c>
      <c r="U48" s="5">
        <f t="shared" ref="U48" si="196">T48*(1+$B$4)</f>
        <v>4439790.0040997583</v>
      </c>
    </row>
    <row r="49" spans="1:21" x14ac:dyDescent="0.35">
      <c r="A49" s="17" t="str">
        <v>Medium growth scenario</v>
      </c>
      <c r="B49" s="5">
        <f>ITU!D$8</f>
        <v>360749000</v>
      </c>
      <c r="C49" s="5">
        <f>ITU!E$8</f>
        <v>158098000</v>
      </c>
      <c r="D49" s="5">
        <f>ITU!F$8</f>
        <v>103175000</v>
      </c>
      <c r="E49" s="5">
        <f>ITU!G$8</f>
        <v>45128600</v>
      </c>
      <c r="F49" s="5">
        <f>E49*(1+$B$5)</f>
        <v>40817517.216341816</v>
      </c>
      <c r="G49" s="5">
        <f t="shared" ref="G49" si="197">F49*(1+$B$5)</f>
        <v>36918267.167746402</v>
      </c>
      <c r="H49" s="5">
        <f t="shared" ref="H49" si="198">G49*(1+$B$5)</f>
        <v>33391507.950988851</v>
      </c>
      <c r="I49" s="5">
        <f t="shared" ref="I49" si="199">H49*(1+$B$5)</f>
        <v>30201655.949200772</v>
      </c>
      <c r="J49" s="5">
        <f t="shared" ref="J49" si="200">I49*(1+$B$5)</f>
        <v>27316526.807136375</v>
      </c>
      <c r="K49" s="5">
        <f t="shared" ref="K49" si="201">J49*(1+$B$5)</f>
        <v>24707010.703654703</v>
      </c>
      <c r="L49" s="5">
        <f t="shared" ref="L49" si="202">K49*(1+$B$5)</f>
        <v>22346778.645044766</v>
      </c>
      <c r="M49" s="5">
        <f t="shared" ref="M49" si="203">L49*(1+$B$5)</f>
        <v>20212016.815808475</v>
      </c>
      <c r="N49" s="5">
        <f t="shared" ref="N49" si="204">M49*(1+$B$5)</f>
        <v>18281186.306604963</v>
      </c>
      <c r="O49" s="5">
        <f t="shared" ref="O49" si="205">N49*(1+$B$5)</f>
        <v>16534805.795105549</v>
      </c>
      <c r="P49" s="5">
        <f t="shared" ref="P49" si="206">O49*(1+$B$5)</f>
        <v>14955254.987094417</v>
      </c>
      <c r="Q49" s="5">
        <f t="shared" ref="Q49" si="207">P49*(1+$B$5)</f>
        <v>13526596.83461282</v>
      </c>
      <c r="R49" s="5">
        <f t="shared" ref="R49" si="208">Q49*(1+$B$5)</f>
        <v>12234416.737397647</v>
      </c>
      <c r="S49" s="5">
        <f t="shared" ref="S49" si="209">R49*(1+$B$5)</f>
        <v>11065677.105219945</v>
      </c>
      <c r="T49" s="5">
        <f t="shared" ref="T49" si="210">S49*(1+$B$5)</f>
        <v>10008585.813714463</v>
      </c>
      <c r="U49" s="5">
        <f t="shared" ref="U49" si="211">T49*(1+$B$5)</f>
        <v>9052477.2264711186</v>
      </c>
    </row>
    <row r="50" spans="1:21" x14ac:dyDescent="0.35">
      <c r="A50" s="17" t="str">
        <v>High growth scenario</v>
      </c>
      <c r="B50" s="5">
        <f>ITU!D$8</f>
        <v>360749000</v>
      </c>
      <c r="C50" s="5">
        <f>ITU!E$8</f>
        <v>158098000</v>
      </c>
      <c r="D50" s="5">
        <f>ITU!F$8</f>
        <v>103175000</v>
      </c>
      <c r="E50" s="5">
        <f>ITU!G$8</f>
        <v>45128600</v>
      </c>
      <c r="F50" s="5">
        <f>E50*(1+$B$6)</f>
        <v>47411122.914221287</v>
      </c>
      <c r="G50" s="5">
        <f t="shared" ref="G50" si="212">F50*(1+$B$6)</f>
        <v>49809091.706531979</v>
      </c>
      <c r="H50" s="5">
        <f t="shared" ref="H50" si="213">G50*(1+$B$6)</f>
        <v>52328345.420511782</v>
      </c>
      <c r="I50" s="5">
        <f t="shared" ref="I50" si="214">H50*(1+$B$6)</f>
        <v>54975018.427997164</v>
      </c>
      <c r="J50" s="5">
        <f t="shared" ref="J50" si="215">I50*(1+$B$6)</f>
        <v>57755555.366250098</v>
      </c>
      <c r="K50" s="5">
        <f t="shared" ref="K50" si="216">J50*(1+$B$6)</f>
        <v>60676726.830621742</v>
      </c>
      <c r="L50" s="5">
        <f t="shared" ref="L50" si="217">K50*(1+$B$6)</f>
        <v>63745645.860922702</v>
      </c>
      <c r="M50" s="5">
        <f t="shared" ref="M50" si="218">L50*(1+$B$6)</f>
        <v>66969785.261644013</v>
      </c>
      <c r="N50" s="5">
        <f t="shared" ref="N50" si="219">M50*(1+$B$6)</f>
        <v>70356995.798203573</v>
      </c>
      <c r="O50" s="5">
        <f t="shared" ref="O50" si="220">N50*(1+$B$6)</f>
        <v>73915525.313525796</v>
      </c>
      <c r="P50" s="5">
        <f t="shared" ref="P50" si="221">O50*(1+$B$6)</f>
        <v>77654038.811503276</v>
      </c>
      <c r="Q50" s="5">
        <f t="shared" ref="Q50" si="222">P50*(1+$B$6)</f>
        <v>81581639.556243539</v>
      </c>
      <c r="R50" s="5">
        <f t="shared" ref="R50" si="223">Q50*(1+$B$6)</f>
        <v>85707891.238477603</v>
      </c>
      <c r="S50" s="5">
        <f t="shared" ref="S50" si="224">R50*(1+$B$6)</f>
        <v>90042841.263105258</v>
      </c>
      <c r="T50" s="5">
        <f t="shared" ref="T50" si="225">S50*(1+$B$6)</f>
        <v>94597045.214582324</v>
      </c>
      <c r="U50" s="5">
        <f t="shared" ref="U50" si="226">T50*(1+$B$6)</f>
        <v>99381592.559722915</v>
      </c>
    </row>
    <row r="52" spans="1:21" x14ac:dyDescent="0.35">
      <c r="A52" s="48" t="str">
        <f>ITU!A9</f>
        <v>International outgoing fixed telephone traffic</v>
      </c>
      <c r="B52" s="49"/>
      <c r="C52" s="49"/>
      <c r="D52" s="49"/>
      <c r="E52" s="49"/>
      <c r="F52" s="49"/>
      <c r="G52" s="49"/>
      <c r="H52" s="49"/>
      <c r="I52" s="49"/>
      <c r="J52" s="49"/>
      <c r="K52" s="49"/>
      <c r="L52" s="49"/>
      <c r="M52" s="49"/>
      <c r="N52" s="49"/>
      <c r="O52" s="49"/>
      <c r="P52" s="49"/>
      <c r="Q52" s="49"/>
      <c r="R52" s="49"/>
      <c r="S52" s="49"/>
      <c r="T52" s="49"/>
      <c r="U52" s="49"/>
    </row>
    <row r="53" spans="1:21" x14ac:dyDescent="0.35">
      <c r="A53" s="21"/>
    </row>
    <row r="54" spans="1:21" x14ac:dyDescent="0.35">
      <c r="A54" s="196"/>
      <c r="B54" s="52" cm="1">
        <f t="array" ref="B54:U54">years</f>
        <v>2018</v>
      </c>
      <c r="C54" s="52">
        <v>2019</v>
      </c>
      <c r="D54" s="52">
        <v>2020</v>
      </c>
      <c r="E54" s="52">
        <v>2021</v>
      </c>
      <c r="F54" s="52">
        <v>2022</v>
      </c>
      <c r="G54" s="52">
        <v>2023</v>
      </c>
      <c r="H54" s="52">
        <v>2024</v>
      </c>
      <c r="I54" s="52">
        <v>2025</v>
      </c>
      <c r="J54" s="52">
        <v>2026</v>
      </c>
      <c r="K54" s="52">
        <v>2027</v>
      </c>
      <c r="L54" s="52">
        <v>2028</v>
      </c>
      <c r="M54" s="52">
        <v>2029</v>
      </c>
      <c r="N54" s="52">
        <v>2030</v>
      </c>
      <c r="O54" s="52">
        <v>2031</v>
      </c>
      <c r="P54" s="52">
        <v>2032</v>
      </c>
      <c r="Q54" s="52">
        <v>2033</v>
      </c>
      <c r="R54" s="52">
        <v>2034</v>
      </c>
      <c r="S54" s="52">
        <v>2035</v>
      </c>
      <c r="T54" s="52">
        <v>2036</v>
      </c>
      <c r="U54" s="52">
        <v>2037</v>
      </c>
    </row>
    <row r="55" spans="1:21" x14ac:dyDescent="0.35">
      <c r="A55" s="17" t="str" cm="1">
        <f t="array" ref="A55:A57">growth_scenarios</f>
        <v>Low growth scenario</v>
      </c>
      <c r="B55" s="5">
        <f>ITU!D$9</f>
        <v>356416000</v>
      </c>
      <c r="C55" s="5">
        <f>ITU!E$9</f>
        <v>79815800</v>
      </c>
      <c r="D55" s="5">
        <f>ITU!F$9</f>
        <v>81615500</v>
      </c>
      <c r="E55" s="5">
        <f>ITU!G$9</f>
        <v>64933600</v>
      </c>
      <c r="F55" s="5">
        <f>E55*(1+$B$4)</f>
        <v>56172841.3305813</v>
      </c>
      <c r="G55" s="5">
        <f t="shared" ref="G55" si="227">F55*(1+$B$4)</f>
        <v>48594073.070808679</v>
      </c>
      <c r="H55" s="5">
        <f t="shared" ref="H55" si="228">G55*(1+$B$4)</f>
        <v>42037822.578960806</v>
      </c>
      <c r="I55" s="5">
        <f t="shared" ref="I55" si="229">H55*(1+$B$4)</f>
        <v>36366133.059172653</v>
      </c>
      <c r="J55" s="5">
        <f t="shared" ref="J55" si="230">I55*(1+$B$4)</f>
        <v>31459660.670896307</v>
      </c>
      <c r="K55" s="5">
        <f t="shared" ref="K55" si="231">J55*(1+$B$4)</f>
        <v>27215163.292658761</v>
      </c>
      <c r="L55" s="5">
        <f t="shared" ref="L55" si="232">K55*(1+$B$4)</f>
        <v>23543328.098617375</v>
      </c>
      <c r="M55" s="5">
        <f t="shared" ref="M55" si="233">L55*(1+$B$4)</f>
        <v>20366892.23572157</v>
      </c>
      <c r="N55" s="5">
        <f t="shared" ref="N55" si="234">M55*(1+$B$4)</f>
        <v>17619017.056720033</v>
      </c>
      <c r="O55" s="5">
        <f t="shared" ref="O55" si="235">N55*(1+$B$4)</f>
        <v>15241881.699581418</v>
      </c>
      <c r="P55" s="5">
        <f t="shared" ref="P55" si="236">O55*(1+$B$4)</f>
        <v>13185466.41938962</v>
      </c>
      <c r="Q55" s="5">
        <f t="shared" ref="Q55" si="237">P55*(1+$B$4)</f>
        <v>11406500.071551263</v>
      </c>
      <c r="R55" s="5">
        <f t="shared" ref="R55" si="238">Q55*(1+$B$4)</f>
        <v>9867549.599229265</v>
      </c>
      <c r="S55" s="5">
        <f t="shared" ref="S55" si="239">R55*(1+$B$4)</f>
        <v>8536232.365973033</v>
      </c>
      <c r="T55" s="5">
        <f t="shared" ref="T55" si="240">S55*(1+$B$4)</f>
        <v>7384534.7594277197</v>
      </c>
      <c r="U55" s="5">
        <f t="shared" ref="U55" si="241">T55*(1+$B$4)</f>
        <v>6388222.7281637806</v>
      </c>
    </row>
    <row r="56" spans="1:21" x14ac:dyDescent="0.35">
      <c r="A56" s="17" t="str">
        <v>Medium growth scenario</v>
      </c>
      <c r="B56" s="5">
        <f>ITU!D$9</f>
        <v>356416000</v>
      </c>
      <c r="C56" s="5">
        <f>ITU!E$9</f>
        <v>79815800</v>
      </c>
      <c r="D56" s="5">
        <f>ITU!F$9</f>
        <v>81615500</v>
      </c>
      <c r="E56" s="5">
        <f>ITU!G$9</f>
        <v>64933600</v>
      </c>
      <c r="F56" s="5">
        <f>E56*(1+$B$5)</f>
        <v>58730568.551186003</v>
      </c>
      <c r="G56" s="5">
        <f t="shared" ref="G56" si="242">F56*(1+$B$5)</f>
        <v>53120105.49770163</v>
      </c>
      <c r="H56" s="5">
        <f t="shared" ref="H56" si="243">G56*(1+$B$5)</f>
        <v>48045603.468450822</v>
      </c>
      <c r="I56" s="5">
        <f t="shared" ref="I56" si="244">H56*(1+$B$5)</f>
        <v>43455862.728802212</v>
      </c>
      <c r="J56" s="5">
        <f t="shared" ref="J56" si="245">I56*(1+$B$5)</f>
        <v>39304574.595353521</v>
      </c>
      <c r="K56" s="5">
        <f t="shared" ref="K56" si="246">J56*(1+$B$5)</f>
        <v>35549854.199483991</v>
      </c>
      <c r="L56" s="5">
        <f t="shared" ref="L56" si="247">K56*(1+$B$5)</f>
        <v>32153817.885462414</v>
      </c>
      <c r="M56" s="5">
        <f t="shared" ref="M56" si="248">L56*(1+$B$5)</f>
        <v>29082200.979223404</v>
      </c>
      <c r="N56" s="5">
        <f t="shared" ref="N56" si="249">M56*(1+$B$5)</f>
        <v>26304012.071248919</v>
      </c>
      <c r="O56" s="5">
        <f t="shared" ref="O56" si="250">N56*(1+$B$5)</f>
        <v>23791220.325404856</v>
      </c>
      <c r="P56" s="5">
        <f t="shared" ref="P56" si="251">O56*(1+$B$5)</f>
        <v>21518472.6588016</v>
      </c>
      <c r="Q56" s="5">
        <f t="shared" ref="Q56" si="252">P56*(1+$B$5)</f>
        <v>19462837.93913427</v>
      </c>
      <c r="R56" s="5">
        <f t="shared" ref="R56" si="253">Q56*(1+$B$5)</f>
        <v>17603575.618554167</v>
      </c>
      <c r="S56" s="5">
        <f t="shared" ref="S56" si="254">R56*(1+$B$5)</f>
        <v>15921926.469677981</v>
      </c>
      <c r="T56" s="5">
        <f t="shared" ref="T56" si="255">S56*(1+$B$5)</f>
        <v>14400923.312343158</v>
      </c>
      <c r="U56" s="5">
        <f t="shared" ref="U56" si="256">T56*(1+$B$5)</f>
        <v>13025219.821416685</v>
      </c>
    </row>
    <row r="57" spans="1:21" x14ac:dyDescent="0.35">
      <c r="A57" s="17" t="str">
        <v>High growth scenario</v>
      </c>
      <c r="B57" s="5">
        <f>ITU!D$9</f>
        <v>356416000</v>
      </c>
      <c r="C57" s="5">
        <f>ITU!E$9</f>
        <v>79815800</v>
      </c>
      <c r="D57" s="5">
        <f>ITU!F$9</f>
        <v>81615500</v>
      </c>
      <c r="E57" s="5">
        <f>ITU!G$9</f>
        <v>64933600</v>
      </c>
      <c r="F57" s="5">
        <f>E57*(1+$B$6)</f>
        <v>68217823.971115425</v>
      </c>
      <c r="G57" s="5">
        <f t="shared" ref="G57" si="257">F57*(1+$B$6)</f>
        <v>71668158.046898529</v>
      </c>
      <c r="H57" s="5">
        <f t="shared" ref="H57" si="258">G57*(1+$B$6)</f>
        <v>75293003.775817201</v>
      </c>
      <c r="I57" s="5">
        <f t="shared" ref="I57" si="259">H57*(1+$B$6)</f>
        <v>79101187.64145568</v>
      </c>
      <c r="J57" s="5">
        <f t="shared" ref="J57" si="260">I57*(1+$B$6)</f>
        <v>83101982.554963753</v>
      </c>
      <c r="K57" s="5">
        <f t="shared" ref="K57" si="261">J57*(1+$B$6)</f>
        <v>87305130.434555024</v>
      </c>
      <c r="L57" s="5">
        <f t="shared" ref="L57" si="262">K57*(1+$B$6)</f>
        <v>91720865.927035406</v>
      </c>
      <c r="M57" s="5">
        <f t="shared" ref="M57" si="263">L57*(1+$B$6)</f>
        <v>96359941.329123601</v>
      </c>
      <c r="N57" s="5">
        <f t="shared" ref="N57" si="264">M57*(1+$B$6)</f>
        <v>101233652.7692468</v>
      </c>
      <c r="O57" s="5">
        <f t="shared" ref="O57" si="265">N57*(1+$B$6)</f>
        <v>106353867.71356432</v>
      </c>
      <c r="P57" s="5">
        <f t="shared" ref="P57" si="266">O57*(1+$B$6)</f>
        <v>111733053.86319605</v>
      </c>
      <c r="Q57" s="5">
        <f t="shared" ref="Q57" si="267">P57*(1+$B$6)</f>
        <v>117384309.51302047</v>
      </c>
      <c r="R57" s="5">
        <f t="shared" ref="R57" si="268">Q57*(1+$B$6)</f>
        <v>123321395.44596574</v>
      </c>
      <c r="S57" s="5">
        <f t="shared" ref="S57" si="269">R57*(1+$B$6)</f>
        <v>129558768.4404562</v>
      </c>
      <c r="T57" s="5">
        <f t="shared" ref="T57" si="270">S57*(1+$B$6)</f>
        <v>136111616.47260502</v>
      </c>
      <c r="U57" s="5">
        <f t="shared" ref="U57" si="271">T57*(1+$B$6)</f>
        <v>142995895.69886997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1682D-F597-43EA-968D-37EBA0DD5FB1}">
  <dimension ref="A1:H92"/>
  <sheetViews>
    <sheetView workbookViewId="0">
      <selection sqref="A1:XFD1"/>
    </sheetView>
  </sheetViews>
  <sheetFormatPr defaultColWidth="15.54296875" defaultRowHeight="14.5" x14ac:dyDescent="0.35"/>
  <cols>
    <col min="1" max="1" width="60.54296875" style="39" customWidth="1"/>
    <col min="2" max="6" width="19.453125" style="12" bestFit="1" customWidth="1"/>
    <col min="7" max="7" width="17.453125" style="12" bestFit="1" customWidth="1"/>
    <col min="8" max="16384" width="15.54296875" style="12"/>
  </cols>
  <sheetData>
    <row r="1" spans="1:7" ht="18.5" x14ac:dyDescent="0.45">
      <c r="A1" s="55" t="s">
        <v>180</v>
      </c>
    </row>
    <row r="2" spans="1:7" x14ac:dyDescent="0.35">
      <c r="A2" s="56"/>
    </row>
    <row r="3" spans="1:7" x14ac:dyDescent="0.35">
      <c r="A3" s="67" t="s">
        <v>181</v>
      </c>
    </row>
    <row r="4" spans="1:7" x14ac:dyDescent="0.35">
      <c r="A4" s="57"/>
    </row>
    <row r="5" spans="1:7" ht="29" x14ac:dyDescent="0.35">
      <c r="A5" s="150" t="s">
        <v>182</v>
      </c>
    </row>
    <row r="7" spans="1:7" x14ac:dyDescent="0.35">
      <c r="A7" s="56" t="s">
        <v>183</v>
      </c>
      <c r="B7" s="12" t="s">
        <v>184</v>
      </c>
    </row>
    <row r="8" spans="1:7" x14ac:dyDescent="0.35">
      <c r="A8" s="54"/>
      <c r="B8" s="52"/>
      <c r="C8" s="52">
        <v>2018</v>
      </c>
      <c r="D8" s="52">
        <v>2019</v>
      </c>
      <c r="E8" s="52">
        <v>2020</v>
      </c>
      <c r="F8" s="52">
        <v>2021</v>
      </c>
      <c r="G8" s="58"/>
    </row>
    <row r="9" spans="1:7" x14ac:dyDescent="0.35">
      <c r="A9" s="31" t="s">
        <v>185</v>
      </c>
      <c r="B9" s="68"/>
      <c r="C9" s="68">
        <v>187587374843</v>
      </c>
      <c r="D9" s="68">
        <v>194284132172</v>
      </c>
      <c r="E9" s="68">
        <v>201254592538</v>
      </c>
      <c r="F9" s="68">
        <v>200250923462</v>
      </c>
    </row>
    <row r="10" spans="1:7" x14ac:dyDescent="0.35">
      <c r="A10" s="31" t="s">
        <v>186</v>
      </c>
      <c r="B10" s="68"/>
      <c r="C10" s="68">
        <v>99569265222</v>
      </c>
      <c r="D10" s="68">
        <v>98071800081</v>
      </c>
      <c r="E10" s="68">
        <v>105670253917</v>
      </c>
      <c r="F10" s="68">
        <v>113945854241</v>
      </c>
    </row>
    <row r="11" spans="1:7" x14ac:dyDescent="0.35">
      <c r="A11" s="31" t="s">
        <v>187</v>
      </c>
      <c r="B11" s="68"/>
      <c r="C11" s="68">
        <v>57011037623</v>
      </c>
      <c r="D11" s="68">
        <v>58768274771</v>
      </c>
      <c r="E11" s="68">
        <v>62165693130</v>
      </c>
      <c r="F11" s="68">
        <v>56294725060</v>
      </c>
    </row>
    <row r="12" spans="1:7" x14ac:dyDescent="0.35">
      <c r="A12" s="31" t="s">
        <v>188</v>
      </c>
      <c r="B12" s="68"/>
      <c r="C12" s="68">
        <v>19078304740</v>
      </c>
      <c r="D12" s="68">
        <v>26790096707</v>
      </c>
      <c r="E12" s="68">
        <v>25335440726</v>
      </c>
      <c r="F12" s="68">
        <v>23493901812</v>
      </c>
    </row>
    <row r="13" spans="1:7" x14ac:dyDescent="0.35">
      <c r="A13" s="31" t="s">
        <v>189</v>
      </c>
      <c r="B13" s="68"/>
      <c r="C13" s="68">
        <v>11928767258</v>
      </c>
      <c r="D13" s="68">
        <v>10653960614</v>
      </c>
      <c r="E13" s="68">
        <v>8083204765</v>
      </c>
      <c r="F13" s="68">
        <v>6516442350</v>
      </c>
    </row>
    <row r="16" spans="1:7" x14ac:dyDescent="0.35">
      <c r="A16" s="56" t="s">
        <v>190</v>
      </c>
      <c r="B16" s="12" t="s">
        <v>191</v>
      </c>
    </row>
    <row r="17" spans="1:7" x14ac:dyDescent="0.35">
      <c r="A17" s="54"/>
      <c r="B17" s="53"/>
      <c r="C17" s="53">
        <v>2018</v>
      </c>
      <c r="D17" s="53">
        <v>2019</v>
      </c>
      <c r="E17" s="53">
        <v>2020</v>
      </c>
      <c r="F17" s="53">
        <v>2021</v>
      </c>
    </row>
    <row r="18" spans="1:7" x14ac:dyDescent="0.35">
      <c r="A18" s="31" t="s">
        <v>186</v>
      </c>
      <c r="B18" s="68"/>
      <c r="C18" s="68">
        <v>99569265222</v>
      </c>
      <c r="D18" s="69">
        <v>98071800081</v>
      </c>
      <c r="E18" s="68">
        <v>105670253917</v>
      </c>
      <c r="F18" s="68">
        <v>113945854241</v>
      </c>
    </row>
    <row r="19" spans="1:7" x14ac:dyDescent="0.35">
      <c r="A19" s="31" t="s">
        <v>192</v>
      </c>
      <c r="B19" s="68"/>
      <c r="C19" s="68">
        <v>47068742797</v>
      </c>
      <c r="D19" s="69">
        <v>40124141859</v>
      </c>
      <c r="E19" s="68">
        <v>48071241971</v>
      </c>
      <c r="F19" s="68">
        <v>53128234464</v>
      </c>
    </row>
    <row r="20" spans="1:7" x14ac:dyDescent="0.35">
      <c r="A20" s="31" t="s">
        <v>193</v>
      </c>
      <c r="B20" s="68"/>
      <c r="C20" s="68">
        <v>43756195020</v>
      </c>
      <c r="D20" s="69">
        <v>36247358086</v>
      </c>
      <c r="E20" s="68">
        <v>35143659167</v>
      </c>
      <c r="F20" s="68">
        <v>36101920184</v>
      </c>
    </row>
    <row r="21" spans="1:7" x14ac:dyDescent="0.35">
      <c r="A21" s="31" t="s">
        <v>194</v>
      </c>
      <c r="B21" s="68"/>
      <c r="C21" s="68">
        <v>4587185489</v>
      </c>
      <c r="D21" s="69">
        <v>18506714023</v>
      </c>
      <c r="E21" s="68">
        <v>16198912702</v>
      </c>
      <c r="F21" s="68">
        <v>18256374065</v>
      </c>
    </row>
    <row r="22" spans="1:7" x14ac:dyDescent="0.35">
      <c r="A22" s="31" t="s">
        <v>195</v>
      </c>
      <c r="B22" s="68"/>
      <c r="C22" s="68">
        <v>3957858068</v>
      </c>
      <c r="D22" s="69">
        <v>2542494484</v>
      </c>
      <c r="E22" s="68">
        <v>2767430165</v>
      </c>
      <c r="F22" s="70">
        <v>3644150398</v>
      </c>
    </row>
    <row r="23" spans="1:7" x14ac:dyDescent="0.35">
      <c r="A23" s="31" t="s">
        <v>196</v>
      </c>
      <c r="B23" s="68"/>
      <c r="C23" s="68">
        <v>199283848</v>
      </c>
      <c r="D23" s="69">
        <v>651091629</v>
      </c>
      <c r="E23" s="69">
        <v>2489009912</v>
      </c>
      <c r="F23" s="68">
        <v>2815175130</v>
      </c>
      <c r="G23" s="59"/>
    </row>
    <row r="24" spans="1:7" x14ac:dyDescent="0.35">
      <c r="E24" s="59"/>
    </row>
    <row r="25" spans="1:7" x14ac:dyDescent="0.35">
      <c r="D25" s="59"/>
      <c r="E25" s="59"/>
    </row>
    <row r="26" spans="1:7" x14ac:dyDescent="0.35">
      <c r="A26" s="56" t="s">
        <v>197</v>
      </c>
      <c r="B26" s="12" t="s">
        <v>198</v>
      </c>
      <c r="D26" s="59"/>
      <c r="E26" s="59"/>
    </row>
    <row r="27" spans="1:7" x14ac:dyDescent="0.35">
      <c r="A27" s="54"/>
      <c r="B27" s="52"/>
      <c r="C27" s="52">
        <v>2018</v>
      </c>
      <c r="D27" s="52">
        <v>2019</v>
      </c>
      <c r="E27" s="52">
        <v>2020</v>
      </c>
      <c r="F27" s="52">
        <v>2021</v>
      </c>
    </row>
    <row r="28" spans="1:7" x14ac:dyDescent="0.35">
      <c r="A28" s="31" t="s">
        <v>188</v>
      </c>
      <c r="B28" s="68"/>
      <c r="C28" s="68">
        <v>19078304740</v>
      </c>
      <c r="D28" s="68">
        <v>26790096707</v>
      </c>
      <c r="E28" s="68">
        <v>25335440726</v>
      </c>
      <c r="F28" s="68">
        <v>23493901812</v>
      </c>
    </row>
    <row r="29" spans="1:7" x14ac:dyDescent="0.35">
      <c r="A29" s="31" t="s">
        <v>199</v>
      </c>
      <c r="B29" s="68"/>
      <c r="C29" s="68">
        <v>11003085498</v>
      </c>
      <c r="D29" s="68">
        <v>13918376242</v>
      </c>
      <c r="E29" s="68">
        <v>13540003128</v>
      </c>
      <c r="F29" s="68">
        <v>13262951804</v>
      </c>
    </row>
    <row r="30" spans="1:7" x14ac:dyDescent="0.35">
      <c r="A30" s="31" t="s">
        <v>200</v>
      </c>
      <c r="B30" s="68"/>
      <c r="C30" s="68">
        <v>1330783377</v>
      </c>
      <c r="D30" s="68">
        <v>6327818019</v>
      </c>
      <c r="E30" s="68">
        <v>5087844013</v>
      </c>
      <c r="F30" s="68">
        <v>4737468356</v>
      </c>
    </row>
    <row r="31" spans="1:7" ht="29" x14ac:dyDescent="0.35">
      <c r="A31" s="31" t="s">
        <v>201</v>
      </c>
      <c r="B31" s="68"/>
      <c r="C31" s="68">
        <v>4875143271</v>
      </c>
      <c r="D31" s="68">
        <v>3791726468</v>
      </c>
      <c r="E31" s="68">
        <v>4254204570</v>
      </c>
      <c r="F31" s="68">
        <v>4195979416</v>
      </c>
    </row>
    <row r="32" spans="1:7" x14ac:dyDescent="0.35">
      <c r="A32" s="31" t="s">
        <v>202</v>
      </c>
      <c r="B32" s="68"/>
      <c r="C32" s="68">
        <v>1869292594</v>
      </c>
      <c r="D32" s="68">
        <v>2752175978</v>
      </c>
      <c r="E32" s="68">
        <v>2453389014</v>
      </c>
      <c r="F32" s="68">
        <v>1297502236</v>
      </c>
    </row>
    <row r="35" spans="1:6" x14ac:dyDescent="0.35">
      <c r="A35" s="56" t="s">
        <v>203</v>
      </c>
      <c r="B35" s="12" t="s">
        <v>204</v>
      </c>
    </row>
    <row r="36" spans="1:6" x14ac:dyDescent="0.35">
      <c r="A36" s="31"/>
      <c r="B36" s="52"/>
      <c r="C36" s="52">
        <v>2018</v>
      </c>
      <c r="D36" s="52">
        <v>2019</v>
      </c>
      <c r="E36" s="52">
        <v>2020</v>
      </c>
      <c r="F36" s="52">
        <v>2021</v>
      </c>
    </row>
    <row r="37" spans="1:6" x14ac:dyDescent="0.35">
      <c r="A37" s="31" t="s">
        <v>205</v>
      </c>
      <c r="B37" s="68"/>
      <c r="C37" s="68">
        <v>11928767258</v>
      </c>
      <c r="D37" s="68">
        <v>10653960614</v>
      </c>
      <c r="E37" s="68">
        <v>8083204765</v>
      </c>
      <c r="F37" s="68">
        <v>6516442350</v>
      </c>
    </row>
    <row r="38" spans="1:6" x14ac:dyDescent="0.35">
      <c r="A38" s="31" t="s">
        <v>206</v>
      </c>
      <c r="B38" s="68"/>
      <c r="C38" s="68">
        <v>6595737290</v>
      </c>
      <c r="D38" s="68">
        <v>6103435777</v>
      </c>
      <c r="E38" s="68">
        <v>4575278396</v>
      </c>
      <c r="F38" s="68">
        <v>3517593998</v>
      </c>
    </row>
    <row r="39" spans="1:6" x14ac:dyDescent="0.35">
      <c r="A39" s="31" t="s">
        <v>207</v>
      </c>
      <c r="B39" s="68"/>
      <c r="C39" s="68">
        <v>5140231624</v>
      </c>
      <c r="D39" s="68">
        <v>4413373568</v>
      </c>
      <c r="E39" s="68">
        <v>3150430268</v>
      </c>
      <c r="F39" s="68">
        <v>2903360189</v>
      </c>
    </row>
    <row r="40" spans="1:6" x14ac:dyDescent="0.35">
      <c r="A40" s="31" t="s">
        <v>208</v>
      </c>
      <c r="B40" s="68"/>
      <c r="C40" s="68">
        <v>192798344</v>
      </c>
      <c r="D40" s="68">
        <v>137151269</v>
      </c>
      <c r="E40" s="68">
        <v>357496101</v>
      </c>
      <c r="F40" s="68">
        <v>95488163</v>
      </c>
    </row>
    <row r="43" spans="1:6" x14ac:dyDescent="0.35">
      <c r="A43" s="56" t="s">
        <v>209</v>
      </c>
      <c r="B43" s="12" t="s">
        <v>210</v>
      </c>
    </row>
    <row r="44" spans="1:6" x14ac:dyDescent="0.35">
      <c r="A44" s="54"/>
      <c r="B44" s="52"/>
      <c r="C44" s="52">
        <v>2018</v>
      </c>
      <c r="D44" s="52">
        <v>2019</v>
      </c>
      <c r="E44" s="52">
        <v>2020</v>
      </c>
      <c r="F44" s="52">
        <v>2021</v>
      </c>
    </row>
    <row r="45" spans="1:6" x14ac:dyDescent="0.35">
      <c r="A45" s="31" t="s">
        <v>211</v>
      </c>
      <c r="B45" s="68"/>
      <c r="C45" s="68">
        <v>27025173332</v>
      </c>
      <c r="D45" s="68">
        <v>38889588361</v>
      </c>
      <c r="E45" s="68">
        <v>27404561055</v>
      </c>
      <c r="F45" s="68">
        <v>27579347445</v>
      </c>
    </row>
    <row r="46" spans="1:6" x14ac:dyDescent="0.35">
      <c r="A46" s="31" t="s">
        <v>212</v>
      </c>
      <c r="B46" s="68"/>
      <c r="C46" s="68">
        <v>25746766590</v>
      </c>
      <c r="D46" s="68">
        <v>15985529092</v>
      </c>
      <c r="E46" s="68">
        <v>28798070479</v>
      </c>
      <c r="F46" s="68">
        <v>31157104593</v>
      </c>
    </row>
    <row r="47" spans="1:6" x14ac:dyDescent="0.35">
      <c r="A47" s="31" t="s">
        <v>213</v>
      </c>
      <c r="B47" s="68"/>
      <c r="C47" s="68">
        <v>1030798979</v>
      </c>
      <c r="D47" s="68">
        <v>693488985</v>
      </c>
      <c r="E47" s="68">
        <v>941977675</v>
      </c>
      <c r="F47" s="68">
        <v>877342773</v>
      </c>
    </row>
    <row r="50" spans="1:6" x14ac:dyDescent="0.35">
      <c r="A50" s="56" t="s">
        <v>214</v>
      </c>
    </row>
    <row r="51" spans="1:6" x14ac:dyDescent="0.35">
      <c r="A51" s="54"/>
      <c r="B51" s="52"/>
      <c r="C51" s="52">
        <v>2018</v>
      </c>
      <c r="D51" s="52">
        <v>2019</v>
      </c>
      <c r="E51" s="52">
        <v>2020</v>
      </c>
      <c r="F51" s="52">
        <v>2021</v>
      </c>
    </row>
    <row r="52" spans="1:6" x14ac:dyDescent="0.35">
      <c r="A52" s="31" t="s">
        <v>215</v>
      </c>
      <c r="B52" s="60"/>
      <c r="C52" s="60">
        <v>0.995</v>
      </c>
      <c r="D52" s="60">
        <v>0.997</v>
      </c>
      <c r="E52" s="60">
        <v>0.998</v>
      </c>
      <c r="F52" s="60">
        <v>0.999</v>
      </c>
    </row>
    <row r="53" spans="1:6" x14ac:dyDescent="0.35">
      <c r="A53" s="31" t="s">
        <v>216</v>
      </c>
      <c r="B53" s="60"/>
      <c r="C53" s="60">
        <v>0.85699999999999998</v>
      </c>
      <c r="D53" s="60">
        <v>0.92800000000000005</v>
      </c>
      <c r="E53" s="60">
        <v>0.96399999999999997</v>
      </c>
      <c r="F53" s="60">
        <v>0.97699999999999998</v>
      </c>
    </row>
    <row r="54" spans="1:6" x14ac:dyDescent="0.35">
      <c r="A54" s="31" t="s">
        <v>217</v>
      </c>
      <c r="B54" s="60"/>
      <c r="C54" s="60"/>
      <c r="D54" s="60"/>
      <c r="E54" s="60">
        <v>7.0000000000000001E-3</v>
      </c>
      <c r="F54" s="60">
        <v>7.4999999999999997E-2</v>
      </c>
    </row>
    <row r="55" spans="1:6" x14ac:dyDescent="0.35">
      <c r="A55" s="61"/>
    </row>
    <row r="56" spans="1:6" x14ac:dyDescent="0.35">
      <c r="A56" s="61"/>
    </row>
    <row r="57" spans="1:6" x14ac:dyDescent="0.35">
      <c r="A57" s="62" t="s">
        <v>218</v>
      </c>
      <c r="B57" s="12" t="s">
        <v>219</v>
      </c>
    </row>
    <row r="58" spans="1:6" x14ac:dyDescent="0.35">
      <c r="A58" s="32"/>
      <c r="B58" s="65"/>
      <c r="C58" s="52">
        <v>2018</v>
      </c>
      <c r="D58" s="52">
        <v>2019</v>
      </c>
      <c r="E58" s="52">
        <v>2020</v>
      </c>
      <c r="F58" s="52">
        <v>2021</v>
      </c>
    </row>
    <row r="59" spans="1:6" x14ac:dyDescent="0.35">
      <c r="A59" s="31" t="s">
        <v>220</v>
      </c>
      <c r="B59" s="17"/>
      <c r="C59" s="26">
        <v>91707731</v>
      </c>
      <c r="D59" s="26">
        <v>96972459</v>
      </c>
      <c r="E59" s="26">
        <v>94972459</v>
      </c>
      <c r="F59" s="26">
        <v>103167525</v>
      </c>
    </row>
    <row r="60" spans="1:6" x14ac:dyDescent="0.35">
      <c r="A60" s="32" t="s">
        <v>221</v>
      </c>
      <c r="B60" s="17"/>
      <c r="C60" s="26">
        <v>46904835</v>
      </c>
      <c r="D60" s="26">
        <v>53380748</v>
      </c>
      <c r="E60" s="26">
        <v>60438901</v>
      </c>
      <c r="F60" s="26">
        <v>65313134</v>
      </c>
    </row>
    <row r="61" spans="1:6" x14ac:dyDescent="0.35">
      <c r="A61" s="61"/>
    </row>
    <row r="62" spans="1:6" x14ac:dyDescent="0.35">
      <c r="A62" s="61"/>
    </row>
    <row r="63" spans="1:6" x14ac:dyDescent="0.35">
      <c r="A63" s="63" t="s">
        <v>222</v>
      </c>
      <c r="B63" s="12" t="s">
        <v>223</v>
      </c>
    </row>
    <row r="64" spans="1:6" x14ac:dyDescent="0.35">
      <c r="A64" s="32"/>
      <c r="B64" s="52"/>
      <c r="C64" s="52">
        <v>2018</v>
      </c>
      <c r="D64" s="52">
        <v>2019</v>
      </c>
      <c r="E64" s="52">
        <v>2020</v>
      </c>
      <c r="F64" s="52">
        <v>2021</v>
      </c>
    </row>
    <row r="65" spans="1:8" x14ac:dyDescent="0.35">
      <c r="A65" s="32" t="s">
        <v>224</v>
      </c>
      <c r="B65" s="26"/>
      <c r="C65" s="26">
        <v>91707731</v>
      </c>
      <c r="D65" s="26">
        <v>96972459</v>
      </c>
      <c r="E65" s="26">
        <v>94952509</v>
      </c>
      <c r="F65" s="26">
        <v>103167525</v>
      </c>
    </row>
    <row r="66" spans="1:8" x14ac:dyDescent="0.35">
      <c r="A66" s="31" t="s">
        <v>225</v>
      </c>
      <c r="B66" s="26"/>
      <c r="C66" s="26">
        <v>80436209</v>
      </c>
      <c r="D66" s="26">
        <v>82323854</v>
      </c>
      <c r="E66" s="26">
        <v>79419434</v>
      </c>
      <c r="F66" s="26">
        <v>86816228</v>
      </c>
    </row>
    <row r="67" spans="1:8" x14ac:dyDescent="0.35">
      <c r="A67" s="32" t="s">
        <v>226</v>
      </c>
      <c r="B67" s="26"/>
      <c r="C67" s="26">
        <v>11271522</v>
      </c>
      <c r="D67" s="26">
        <v>14648605</v>
      </c>
      <c r="E67" s="26">
        <v>15533075</v>
      </c>
      <c r="F67" s="26">
        <v>16351297</v>
      </c>
    </row>
    <row r="68" spans="1:8" x14ac:dyDescent="0.35">
      <c r="A68" s="61"/>
    </row>
    <row r="70" spans="1:8" ht="29" x14ac:dyDescent="0.35">
      <c r="A70" s="56" t="s">
        <v>227</v>
      </c>
      <c r="B70" s="12" t="s">
        <v>228</v>
      </c>
    </row>
    <row r="71" spans="1:8" x14ac:dyDescent="0.35">
      <c r="A71" s="54"/>
      <c r="B71" s="52"/>
      <c r="C71" s="52">
        <v>2018</v>
      </c>
      <c r="D71" s="52">
        <v>2019</v>
      </c>
      <c r="E71" s="52">
        <v>2020</v>
      </c>
      <c r="F71" s="52">
        <v>2021</v>
      </c>
      <c r="H71" s="21"/>
    </row>
    <row r="72" spans="1:8" x14ac:dyDescent="0.35">
      <c r="A72" s="31" t="s">
        <v>229</v>
      </c>
      <c r="B72" s="17"/>
      <c r="C72" s="17"/>
      <c r="D72" s="26">
        <v>53306152</v>
      </c>
      <c r="E72" s="26">
        <v>64151355</v>
      </c>
      <c r="F72" s="26">
        <v>64113022</v>
      </c>
      <c r="H72" s="64"/>
    </row>
    <row r="75" spans="1:8" x14ac:dyDescent="0.35">
      <c r="A75" s="56" t="s">
        <v>230</v>
      </c>
      <c r="B75" s="12" t="s">
        <v>231</v>
      </c>
    </row>
    <row r="76" spans="1:8" x14ac:dyDescent="0.35">
      <c r="A76" s="31"/>
      <c r="B76" s="52"/>
      <c r="C76" s="52">
        <v>2018</v>
      </c>
      <c r="D76" s="52">
        <v>2019</v>
      </c>
      <c r="E76" s="52">
        <v>2020</v>
      </c>
      <c r="F76" s="52">
        <v>2021</v>
      </c>
    </row>
    <row r="77" spans="1:8" x14ac:dyDescent="0.35">
      <c r="A77" s="31" t="s">
        <v>232</v>
      </c>
      <c r="B77" s="26"/>
      <c r="C77" s="26">
        <v>3869934</v>
      </c>
      <c r="D77" s="26">
        <v>3112717</v>
      </c>
      <c r="E77" s="26">
        <v>1492151</v>
      </c>
      <c r="F77" s="26">
        <v>1796364</v>
      </c>
    </row>
    <row r="78" spans="1:8" x14ac:dyDescent="0.35">
      <c r="A78" s="31" t="s">
        <v>233</v>
      </c>
      <c r="B78" s="26"/>
      <c r="C78" s="26">
        <v>1278728</v>
      </c>
      <c r="D78" s="26">
        <v>1647419</v>
      </c>
      <c r="E78" s="26">
        <v>1026002</v>
      </c>
      <c r="F78" s="26">
        <v>1379207</v>
      </c>
    </row>
    <row r="79" spans="1:8" x14ac:dyDescent="0.35">
      <c r="A79" s="31" t="s">
        <v>234</v>
      </c>
      <c r="B79" s="26"/>
      <c r="C79" s="26">
        <v>2521013</v>
      </c>
      <c r="D79" s="26">
        <v>1441292</v>
      </c>
      <c r="E79" s="26">
        <v>453771</v>
      </c>
      <c r="F79" s="26">
        <v>316825</v>
      </c>
    </row>
    <row r="80" spans="1:8" x14ac:dyDescent="0.35">
      <c r="A80" s="31" t="s">
        <v>235</v>
      </c>
      <c r="B80" s="26"/>
      <c r="C80" s="26">
        <v>70193</v>
      </c>
      <c r="D80" s="26">
        <v>24006</v>
      </c>
      <c r="E80" s="26">
        <v>12378</v>
      </c>
      <c r="F80" s="26">
        <v>100332</v>
      </c>
    </row>
    <row r="83" spans="1:6" ht="29" x14ac:dyDescent="0.35">
      <c r="A83" s="56" t="s">
        <v>236</v>
      </c>
      <c r="B83" s="12" t="s">
        <v>237</v>
      </c>
    </row>
    <row r="84" spans="1:6" x14ac:dyDescent="0.35">
      <c r="A84" s="31"/>
      <c r="B84" s="53"/>
      <c r="C84" s="52">
        <v>2018</v>
      </c>
      <c r="D84" s="52">
        <v>2019</v>
      </c>
      <c r="E84" s="52">
        <v>2020</v>
      </c>
      <c r="F84" s="52">
        <v>2021</v>
      </c>
    </row>
    <row r="85" spans="1:6" x14ac:dyDescent="0.35">
      <c r="A85" s="31" t="s">
        <v>238</v>
      </c>
      <c r="B85" s="26"/>
      <c r="C85" s="26">
        <v>5208521164</v>
      </c>
      <c r="D85" s="26">
        <v>6365441002</v>
      </c>
      <c r="E85" s="26">
        <v>4167973810</v>
      </c>
      <c r="F85" s="26">
        <v>3398520058</v>
      </c>
    </row>
    <row r="86" spans="1:6" x14ac:dyDescent="0.35">
      <c r="A86" s="31" t="s">
        <v>239</v>
      </c>
      <c r="B86" s="26"/>
      <c r="C86" s="26">
        <v>3139633506</v>
      </c>
      <c r="D86" s="26">
        <v>3833825566</v>
      </c>
      <c r="E86" s="26">
        <v>2607594305</v>
      </c>
      <c r="F86" s="26">
        <v>1869197103</v>
      </c>
    </row>
    <row r="87" spans="1:6" x14ac:dyDescent="0.35">
      <c r="A87" s="31" t="s">
        <v>240</v>
      </c>
      <c r="B87" s="26"/>
      <c r="C87" s="26">
        <v>2068887658</v>
      </c>
      <c r="D87" s="26">
        <v>2531615436</v>
      </c>
      <c r="E87" s="26">
        <v>1560379505</v>
      </c>
      <c r="F87" s="26">
        <v>1529322955</v>
      </c>
    </row>
    <row r="90" spans="1:6" x14ac:dyDescent="0.35">
      <c r="A90" s="56" t="s">
        <v>241</v>
      </c>
      <c r="B90" s="12" t="s">
        <v>242</v>
      </c>
    </row>
    <row r="91" spans="1:6" x14ac:dyDescent="0.35">
      <c r="A91" s="54"/>
      <c r="B91" s="52"/>
      <c r="C91" s="52">
        <v>2018</v>
      </c>
      <c r="D91" s="52">
        <v>2019</v>
      </c>
      <c r="E91" s="52">
        <v>2020</v>
      </c>
      <c r="F91" s="52">
        <v>2021</v>
      </c>
    </row>
    <row r="92" spans="1:6" x14ac:dyDescent="0.35">
      <c r="A92" s="54"/>
      <c r="B92" s="26"/>
      <c r="C92" s="26">
        <v>7802163843</v>
      </c>
      <c r="D92" s="26">
        <v>9387343330</v>
      </c>
      <c r="E92" s="26">
        <v>9005020193</v>
      </c>
      <c r="F92" s="26">
        <v>5912533086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E10D4-F8D0-4F63-8218-8AFCA2C2BF71}">
  <dimension ref="A1:I24"/>
  <sheetViews>
    <sheetView workbookViewId="0">
      <selection activeCell="J5" sqref="J5"/>
    </sheetView>
  </sheetViews>
  <sheetFormatPr defaultColWidth="8.54296875" defaultRowHeight="14.5" x14ac:dyDescent="0.35"/>
  <cols>
    <col min="1" max="1" width="60.54296875" style="12" customWidth="1"/>
    <col min="2" max="7" width="15.54296875" style="12" customWidth="1"/>
    <col min="8" max="8" width="30.54296875" style="12" customWidth="1"/>
    <col min="9" max="9" width="13.1796875" style="12" customWidth="1"/>
    <col min="10" max="18" width="15.54296875" style="12" customWidth="1"/>
    <col min="19" max="19" width="8.54296875" style="12"/>
    <col min="20" max="20" width="45.54296875" style="12" customWidth="1"/>
    <col min="21" max="16384" width="8.54296875" style="12"/>
  </cols>
  <sheetData>
    <row r="1" spans="1:9" ht="18.5" x14ac:dyDescent="0.45">
      <c r="A1" s="50" t="s">
        <v>243</v>
      </c>
      <c r="B1" s="51"/>
    </row>
    <row r="2" spans="1:9" x14ac:dyDescent="0.35">
      <c r="A2" s="21"/>
    </row>
    <row r="3" spans="1:9" x14ac:dyDescent="0.35">
      <c r="A3" s="12" t="s">
        <v>244</v>
      </c>
      <c r="B3" s="19" t="s">
        <v>245</v>
      </c>
      <c r="I3" s="21"/>
    </row>
    <row r="5" spans="1:9" x14ac:dyDescent="0.35">
      <c r="A5" s="29"/>
      <c r="B5" s="30" t="s">
        <v>21</v>
      </c>
      <c r="C5" s="52">
        <v>2017</v>
      </c>
      <c r="D5" s="52">
        <v>2018</v>
      </c>
      <c r="E5" s="52">
        <v>2019</v>
      </c>
      <c r="F5" s="52">
        <v>2020</v>
      </c>
      <c r="G5" s="52">
        <v>2021</v>
      </c>
      <c r="I5" s="52" t="s">
        <v>444</v>
      </c>
    </row>
    <row r="6" spans="1:9" x14ac:dyDescent="0.35">
      <c r="A6" s="29" t="s">
        <v>246</v>
      </c>
      <c r="B6" s="33" t="s">
        <v>119</v>
      </c>
      <c r="C6" s="26">
        <v>7035510000</v>
      </c>
      <c r="D6" s="26">
        <f>AVERAGE(C6,E6)</f>
        <v>6071050000</v>
      </c>
      <c r="E6" s="26">
        <f>5106590000*(1+I20)</f>
        <v>5106590000</v>
      </c>
      <c r="F6" s="26">
        <f>4438360000*(1+I22)</f>
        <v>4438360000</v>
      </c>
      <c r="G6" s="26">
        <f>3930380000*(1+I24)</f>
        <v>3930380000</v>
      </c>
      <c r="I6" s="204">
        <f>(G6/D6)^(1/3)-1</f>
        <v>-0.13491872727553533</v>
      </c>
    </row>
    <row r="7" spans="1:9" x14ac:dyDescent="0.35">
      <c r="A7" s="29" t="s">
        <v>247</v>
      </c>
      <c r="B7" s="33" t="s">
        <v>119</v>
      </c>
      <c r="C7" s="26"/>
      <c r="D7" s="26">
        <f>8144270000*(1+I18)</f>
        <v>8144270000</v>
      </c>
      <c r="E7" s="26">
        <f>5948320000*(1+I20)</f>
        <v>5948320000</v>
      </c>
      <c r="F7" s="26">
        <f>6424540000*(1+I22)</f>
        <v>6424540000</v>
      </c>
      <c r="G7" s="26">
        <f>6026100000*(1+I24)</f>
        <v>6026100000</v>
      </c>
      <c r="I7" s="204">
        <f t="shared" ref="I7:I11" si="0">(G7/D7)^(1/3)-1</f>
        <v>-9.5528839442353353E-2</v>
      </c>
    </row>
    <row r="8" spans="1:9" x14ac:dyDescent="0.35">
      <c r="A8" s="29" t="s">
        <v>248</v>
      </c>
      <c r="B8" s="33" t="s">
        <v>119</v>
      </c>
      <c r="C8" s="26"/>
      <c r="D8" s="26">
        <f>360749000*(1+I18)</f>
        <v>360749000</v>
      </c>
      <c r="E8" s="26">
        <f>158098000*(1+I20)</f>
        <v>158098000</v>
      </c>
      <c r="F8" s="26">
        <f>103175000*(1+I22)</f>
        <v>103175000</v>
      </c>
      <c r="G8" s="26">
        <f>45128600*(1+I24)</f>
        <v>45128600</v>
      </c>
      <c r="I8" s="204">
        <f t="shared" si="0"/>
        <v>-0.4998707653184844</v>
      </c>
    </row>
    <row r="9" spans="1:9" x14ac:dyDescent="0.35">
      <c r="A9" s="29" t="s">
        <v>249</v>
      </c>
      <c r="B9" s="33" t="s">
        <v>119</v>
      </c>
      <c r="C9" s="26"/>
      <c r="D9" s="26">
        <f>356416000*(1+I18)</f>
        <v>356416000</v>
      </c>
      <c r="E9" s="26">
        <f>79815800*(1+I20)</f>
        <v>79815800</v>
      </c>
      <c r="F9" s="26">
        <f>81615500*(1+I22)</f>
        <v>81615500</v>
      </c>
      <c r="G9" s="26">
        <f>64933600*(1+I24)</f>
        <v>64933600</v>
      </c>
      <c r="I9" s="204">
        <f t="shared" si="0"/>
        <v>-0.43310308122606311</v>
      </c>
    </row>
    <row r="10" spans="1:9" x14ac:dyDescent="0.35">
      <c r="A10" s="29" t="s">
        <v>250</v>
      </c>
      <c r="B10" s="33" t="s">
        <v>119</v>
      </c>
      <c r="C10" s="26"/>
      <c r="D10" s="26">
        <f>717165000*(1+I18)</f>
        <v>717165000</v>
      </c>
      <c r="E10" s="26">
        <f>237914000*(1+I20)</f>
        <v>237914000</v>
      </c>
      <c r="F10" s="26">
        <f>184790000*(1+I22)</f>
        <v>184790000</v>
      </c>
      <c r="G10" s="26">
        <f>110062000*(1+I24)</f>
        <v>110062000</v>
      </c>
      <c r="I10" s="204">
        <f t="shared" si="0"/>
        <v>-0.46460689815399669</v>
      </c>
    </row>
    <row r="11" spans="1:9" x14ac:dyDescent="0.35">
      <c r="A11" s="29" t="s">
        <v>251</v>
      </c>
      <c r="B11" s="33" t="s">
        <v>119</v>
      </c>
      <c r="C11" s="26"/>
      <c r="D11" s="26">
        <f>2366640000*(1+I18)</f>
        <v>2366640000</v>
      </c>
      <c r="E11" s="26">
        <f>2463320000*(1+I20)</f>
        <v>2463320000</v>
      </c>
      <c r="F11" s="26">
        <f>2945570000*(1+I22)</f>
        <v>2945570000</v>
      </c>
      <c r="G11" s="26">
        <f>2744210000*(1+I24)</f>
        <v>2744210000</v>
      </c>
      <c r="I11" s="204">
        <f t="shared" si="0"/>
        <v>5.0578190199148443E-2</v>
      </c>
    </row>
    <row r="12" spans="1:9" x14ac:dyDescent="0.35">
      <c r="C12"/>
    </row>
    <row r="13" spans="1:9" x14ac:dyDescent="0.35">
      <c r="A13" s="21"/>
    </row>
    <row r="14" spans="1:9" x14ac:dyDescent="0.35">
      <c r="B14"/>
      <c r="C14" s="189"/>
      <c r="D14" s="189"/>
      <c r="E14" s="189"/>
      <c r="F14" s="188"/>
    </row>
    <row r="15" spans="1:9" ht="14.9" customHeight="1" x14ac:dyDescent="0.35">
      <c r="A15" s="2"/>
      <c r="B15" s="21"/>
      <c r="C15" s="188"/>
      <c r="D15" s="188"/>
      <c r="E15" s="188"/>
      <c r="F15" s="188"/>
    </row>
    <row r="16" spans="1:9" x14ac:dyDescent="0.35">
      <c r="C16" s="155" t="s">
        <v>252</v>
      </c>
      <c r="D16" s="154"/>
      <c r="E16" s="154"/>
      <c r="F16" s="154"/>
      <c r="G16" s="154"/>
      <c r="H16" s="154"/>
      <c r="I16" s="154"/>
    </row>
    <row r="17" spans="3:9" x14ac:dyDescent="0.35">
      <c r="C17" s="174"/>
      <c r="D17" s="174"/>
      <c r="E17" s="174"/>
      <c r="F17" s="174"/>
      <c r="G17" s="174"/>
      <c r="H17" s="174"/>
      <c r="I17" s="174"/>
    </row>
    <row r="18" spans="3:9" x14ac:dyDescent="0.35">
      <c r="C18" s="155" t="s">
        <v>253</v>
      </c>
      <c r="D18" s="151"/>
      <c r="E18" s="151"/>
      <c r="F18" s="151"/>
      <c r="G18" s="151"/>
      <c r="H18" s="151"/>
      <c r="I18" s="8">
        <v>0</v>
      </c>
    </row>
    <row r="20" spans="3:9" x14ac:dyDescent="0.35">
      <c r="C20" s="155" t="s">
        <v>254</v>
      </c>
      <c r="D20" s="154"/>
      <c r="E20" s="154"/>
      <c r="F20" s="154"/>
      <c r="G20" s="154"/>
      <c r="H20" s="154"/>
      <c r="I20" s="8">
        <v>0</v>
      </c>
    </row>
    <row r="22" spans="3:9" x14ac:dyDescent="0.35">
      <c r="C22" s="155" t="s">
        <v>254</v>
      </c>
      <c r="D22" s="154"/>
      <c r="E22" s="154"/>
      <c r="F22" s="154"/>
      <c r="G22" s="154"/>
      <c r="H22" s="154"/>
      <c r="I22" s="8">
        <v>0</v>
      </c>
    </row>
    <row r="24" spans="3:9" x14ac:dyDescent="0.35">
      <c r="C24" s="155" t="s">
        <v>255</v>
      </c>
      <c r="D24" s="151"/>
      <c r="E24" s="151"/>
      <c r="F24" s="151"/>
      <c r="G24" s="151"/>
      <c r="H24" s="151"/>
      <c r="I24" s="8">
        <v>0</v>
      </c>
    </row>
  </sheetData>
  <hyperlinks>
    <hyperlink ref="B3" r:id="rId1" xr:uid="{48C04EA8-64FE-482B-8C23-870E2ABC9F98}"/>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256F-E1E0-4B41-B532-79A7FABE58DA}">
  <sheetPr>
    <tabColor theme="3" tint="0.79998168889431442"/>
  </sheetPr>
  <dimension ref="B2"/>
  <sheetViews>
    <sheetView workbookViewId="0">
      <selection activeCell="J15" sqref="J15"/>
    </sheetView>
  </sheetViews>
  <sheetFormatPr defaultColWidth="8.54296875" defaultRowHeight="14.5" x14ac:dyDescent="0.35"/>
  <cols>
    <col min="1" max="16384" width="8.54296875" style="12"/>
  </cols>
  <sheetData>
    <row r="2" spans="2:2" x14ac:dyDescent="0.35">
      <c r="B2" s="12" t="s">
        <v>174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071C4-1AA2-449B-814F-C52AEDD62369}">
  <dimension ref="A1:Z24"/>
  <sheetViews>
    <sheetView zoomScaleNormal="100" workbookViewId="0">
      <selection activeCell="E10" sqref="E10"/>
    </sheetView>
  </sheetViews>
  <sheetFormatPr defaultColWidth="15.54296875" defaultRowHeight="14.5" x14ac:dyDescent="0.35"/>
  <cols>
    <col min="1" max="1" width="45.54296875" style="12" customWidth="1"/>
    <col min="2" max="24" width="15.54296875" style="12"/>
    <col min="25" max="26" width="45.54296875" style="12" customWidth="1"/>
    <col min="27" max="16384" width="15.54296875" style="12"/>
  </cols>
  <sheetData>
    <row r="1" spans="1:26" s="21" customFormat="1" ht="18.5" x14ac:dyDescent="0.45">
      <c r="A1" s="50" t="s">
        <v>154</v>
      </c>
      <c r="B1" s="48"/>
      <c r="C1" s="48"/>
      <c r="D1" s="48"/>
      <c r="E1" s="48"/>
      <c r="F1" s="48"/>
      <c r="G1" s="48"/>
      <c r="H1" s="48"/>
      <c r="I1" s="48"/>
      <c r="J1" s="48"/>
      <c r="K1" s="48"/>
      <c r="L1" s="48"/>
      <c r="M1" s="48"/>
      <c r="N1" s="48"/>
      <c r="O1" s="48"/>
      <c r="P1" s="48"/>
      <c r="Q1" s="48"/>
      <c r="R1" s="48"/>
      <c r="S1" s="48"/>
      <c r="T1" s="48"/>
      <c r="U1" s="48"/>
      <c r="V1" s="48"/>
      <c r="W1" s="48"/>
      <c r="X1" s="48"/>
    </row>
    <row r="2" spans="1:26" x14ac:dyDescent="0.35">
      <c r="Y2" s="21" t="s">
        <v>26</v>
      </c>
      <c r="Z2" s="21" t="s">
        <v>22</v>
      </c>
    </row>
    <row r="3" spans="1:26" x14ac:dyDescent="0.35">
      <c r="A3" s="17" t="s">
        <v>155</v>
      </c>
      <c r="B3" s="8">
        <v>0.27500000000000002</v>
      </c>
      <c r="C3" s="15" t="s">
        <v>156</v>
      </c>
      <c r="Y3" s="12" t="s">
        <v>361</v>
      </c>
    </row>
    <row r="4" spans="1:26" x14ac:dyDescent="0.35">
      <c r="B4" s="15"/>
      <c r="C4" s="15"/>
    </row>
    <row r="6" spans="1:26" x14ac:dyDescent="0.35">
      <c r="C6" s="12" t="s">
        <v>440</v>
      </c>
      <c r="D6" s="216" cm="1">
        <f t="array" ref="D6:W6">years</f>
        <v>2018</v>
      </c>
      <c r="E6" s="216">
        <v>2019</v>
      </c>
      <c r="F6" s="216">
        <v>2020</v>
      </c>
      <c r="G6" s="216">
        <v>2021</v>
      </c>
      <c r="H6" s="216">
        <v>2022</v>
      </c>
      <c r="I6" s="216">
        <v>2023</v>
      </c>
      <c r="J6" s="216">
        <v>2024</v>
      </c>
      <c r="K6" s="216">
        <v>2025</v>
      </c>
      <c r="L6" s="216">
        <v>2026</v>
      </c>
      <c r="M6" s="198">
        <v>2027</v>
      </c>
      <c r="N6" s="198">
        <v>2028</v>
      </c>
      <c r="O6" s="198">
        <v>2029</v>
      </c>
      <c r="P6" s="198">
        <v>2030</v>
      </c>
      <c r="Q6" s="198">
        <v>2031</v>
      </c>
      <c r="R6" s="198">
        <v>2032</v>
      </c>
      <c r="S6" s="198">
        <v>2033</v>
      </c>
      <c r="T6" s="198">
        <v>2034</v>
      </c>
      <c r="U6" s="198">
        <v>2035</v>
      </c>
      <c r="V6" s="198">
        <v>2036</v>
      </c>
      <c r="W6" s="198">
        <v>2037</v>
      </c>
    </row>
    <row r="7" spans="1:26" x14ac:dyDescent="0.35">
      <c r="A7" s="17" t="s">
        <v>157</v>
      </c>
      <c r="B7" s="17"/>
      <c r="C7" s="213"/>
      <c r="D7" s="187">
        <f>INDEX('Macroeconomic data'!$C$28:$AA$30, MATCH(Summary!$B$22,_xlfn.ANCHORARRAY('Macroeconomic data'!$B$28),0), MATCH('Macroeconomic data'!H27,'Macroeconomic data'!$C27:$AA27,0))</f>
        <v>13.246775199999993</v>
      </c>
      <c r="E7" s="187">
        <f>INDEX('Macroeconomic data'!$C$28:$AA$30, MATCH(Summary!$B$22,_xlfn.ANCHORARRAY('Macroeconomic data'!$B$28),0), MATCH('Macroeconomic data'!I27,'Macroeconomic data'!$C27:$AA27,0))</f>
        <v>14.451177510040162</v>
      </c>
      <c r="F7" s="187">
        <f>INDEX('Macroeconomic data'!$C$28:$AA$30, MATCH(Summary!$B$22,_xlfn.ANCHORARRAY('Macroeconomic data'!$B$28),0), MATCH('Macroeconomic data'!J27,'Macroeconomic data'!$C27:$AA27,0))</f>
        <v>16.441369841269843</v>
      </c>
      <c r="G7" s="187">
        <f>INDEX('Macroeconomic data'!$C$28:$AA$30, MATCH(Summary!$B$22,_xlfn.ANCHORARRAY('Macroeconomic data'!$B$28),0), MATCH('Macroeconomic data'!K27,'Macroeconomic data'!$C27:$AA27,0))</f>
        <v>14.783901599999995</v>
      </c>
      <c r="H7" s="187">
        <f>INDEX('Macroeconomic data'!$C$28:$AA$30, MATCH(Summary!$B$22,_xlfn.ANCHORARRAY('Macroeconomic data'!$B$28),0), MATCH('Macroeconomic data'!L27,'Macroeconomic data'!$C27:$AA27,0))</f>
        <v>16.381369199999995</v>
      </c>
      <c r="I7" s="187">
        <f>INDEX('Macroeconomic data'!$C$28:$AA$30, MATCH(Summary!$B$22,_xlfn.ANCHORARRAY('Macroeconomic data'!$B$28),0), MATCH('Macroeconomic data'!M27,'Macroeconomic data'!$C27:$AA27,0))</f>
        <v>18.447499999999998</v>
      </c>
      <c r="J7" s="187">
        <f>INDEX('Macroeconomic data'!$C$28:$AA$30, MATCH(Summary!$B$22,_xlfn.ANCHORARRAY('Macroeconomic data'!$B$28),0), MATCH('Macroeconomic data'!N27,'Macroeconomic data'!$C27:$AA27,0))</f>
        <v>17.75</v>
      </c>
      <c r="K7" s="187">
        <f>INDEX('Macroeconomic data'!$C$28:$AA$30, MATCH(Summary!$B$22,_xlfn.ANCHORARRAY('Macroeconomic data'!$B$28),0), MATCH('Macroeconomic data'!O27,'Macroeconomic data'!$C27:$AA27,0))</f>
        <v>17.3</v>
      </c>
      <c r="L7" s="187">
        <f>INDEX('Macroeconomic data'!$C$28:$AA$30, MATCH(Summary!$B$22,_xlfn.ANCHORARRAY('Macroeconomic data'!$B$28),0), MATCH('Macroeconomic data'!P27,'Macroeconomic data'!$C27:$AA27,0))</f>
        <v>17.972495345689182</v>
      </c>
      <c r="M7" s="187">
        <f>INDEX('Macroeconomic data'!$C$28:$AA$30, MATCH(Summary!$B$22,_xlfn.ANCHORARRAY('Macroeconomic data'!$B$28),0), MATCH('Macroeconomic data'!Q27,'Macroeconomic data'!$C27:$AA27,0))</f>
        <v>18.671132309295913</v>
      </c>
      <c r="N7" s="187">
        <f>INDEX('Macroeconomic data'!$C$28:$AA$30, MATCH(Summary!$B$22,_xlfn.ANCHORARRAY('Macroeconomic data'!$B$28),0), MATCH('Macroeconomic data'!R27,'Macroeconomic data'!$C27:$AA27,0))</f>
        <v>19.396927082518364</v>
      </c>
      <c r="O7" s="187">
        <f>INDEX('Macroeconomic data'!$C$28:$AA$30, MATCH(Summary!$B$22,_xlfn.ANCHORARRAY('Macroeconomic data'!$B$28),0), MATCH('Macroeconomic data'!S27,'Macroeconomic data'!$C27:$AA27,0))</f>
        <v>20.15093535903085</v>
      </c>
      <c r="P7" s="187">
        <f>INDEX('Macroeconomic data'!$C$28:$AA$30, MATCH(Summary!$B$22,_xlfn.ANCHORARRAY('Macroeconomic data'!$B$28),0), MATCH('Macroeconomic data'!T27,'Macroeconomic data'!$C27:$AA27,0))</f>
        <v>20.934253870026907</v>
      </c>
      <c r="Q7" s="187">
        <f>INDEX('Macroeconomic data'!$C$28:$AA$30, MATCH(Summary!$B$22,_xlfn.ANCHORARRAY('Macroeconomic data'!$B$28),0), MATCH('Macroeconomic data'!U27,'Macroeconomic data'!$C27:$AA27,0))</f>
        <v>21.341137924739876</v>
      </c>
      <c r="R7" s="187">
        <f>INDEX('Macroeconomic data'!$C$28:$AA$30, MATCH(Summary!$B$22,_xlfn.ANCHORARRAY('Macroeconomic data'!$B$28),0), MATCH('Macroeconomic data'!V27,'Macroeconomic data'!$C27:$AA27,0))</f>
        <v>21.755930292546186</v>
      </c>
      <c r="S7" s="187">
        <f>INDEX('Macroeconomic data'!$C$28:$AA$30, MATCH(Summary!$B$22,_xlfn.ANCHORARRAY('Macroeconomic data'!$B$28),0), MATCH('Macroeconomic data'!W27,'Macroeconomic data'!$C27:$AA27,0))</f>
        <v>22.178784681646633</v>
      </c>
      <c r="T7" s="187">
        <f>INDEX('Macroeconomic data'!$C$28:$AA$30, MATCH(Summary!$B$22,_xlfn.ANCHORARRAY('Macroeconomic data'!$B$28),0), MATCH('Macroeconomic data'!X27,'Macroeconomic data'!$C27:$AA27,0))</f>
        <v>22.6098577877579</v>
      </c>
      <c r="U7" s="187">
        <f>INDEX('Macroeconomic data'!$C$28:$AA$30, MATCH(Summary!$B$22,_xlfn.ANCHORARRAY('Macroeconomic data'!$B$28),0), MATCH('Macroeconomic data'!Y27,'Macroeconomic data'!$C27:$AA27,0))</f>
        <v>23.049309352178749</v>
      </c>
      <c r="V7" s="187">
        <f>INDEX('Macroeconomic data'!$C$28:$AA$30, MATCH(Summary!$B$22,_xlfn.ANCHORARRAY('Macroeconomic data'!$B$28),0), MATCH('Macroeconomic data'!Z27,'Macroeconomic data'!$C27:$AA27,0))</f>
        <v>23.049309352178749</v>
      </c>
      <c r="W7" s="187">
        <f>INDEX('Macroeconomic data'!$C$28:$AA$30, MATCH(Summary!$B$22,_xlfn.ANCHORARRAY('Macroeconomic data'!$B$28),0), MATCH('Macroeconomic data'!AA27,'Macroeconomic data'!$C27:$AA27,0))</f>
        <v>23.049309352178749</v>
      </c>
      <c r="Y7" s="210"/>
    </row>
    <row r="8" spans="1:26" x14ac:dyDescent="0.35">
      <c r="A8" s="17" t="s">
        <v>158</v>
      </c>
      <c r="B8" s="17"/>
      <c r="C8" s="213"/>
      <c r="D8" s="187">
        <f>INDEX('Macroeconomic data'!$C$33:$AA$35, MATCH(Summary!$B$22,_xlfn.ANCHORARRAY('Macroeconomic data'!$B$33),0), MATCH('Macroeconomic data'!H32,'Macroeconomic data'!$C32:$AA32,0))</f>
        <v>17.641773199999999</v>
      </c>
      <c r="E8" s="187">
        <f>INDEX('Macroeconomic data'!$C$33:$AA$35, MATCH(Summary!$B$22,_xlfn.ANCHORARRAY('Macroeconomic data'!$B$33),0), MATCH('Macroeconomic data'!I32,'Macroeconomic data'!$C32:$AA32,0))</f>
        <v>18.430149397590366</v>
      </c>
      <c r="F8" s="187">
        <f>INDEX('Macroeconomic data'!$C$33:$AA$35, MATCH(Summary!$B$22,_xlfn.ANCHORARRAY('Macroeconomic data'!$B$33),0), MATCH('Macroeconomic data'!J32,'Macroeconomic data'!$C32:$AA32,0))</f>
        <v>21.072238492063484</v>
      </c>
      <c r="G8" s="187">
        <f>INDEX('Macroeconomic data'!$C$33:$AA$35, MATCH(Summary!$B$22,_xlfn.ANCHORARRAY('Macroeconomic data'!$B$33),0), MATCH('Macroeconomic data'!K32,'Macroeconomic data'!$C32:$AA32,0))</f>
        <v>20.328223200000007</v>
      </c>
      <c r="H8" s="187">
        <f>INDEX('Macroeconomic data'!$C$33:$AA$35, MATCH(Summary!$B$22,_xlfn.ANCHORARRAY('Macroeconomic data'!$B$33),0), MATCH('Macroeconomic data'!L32,'Macroeconomic data'!$C32:$AA32,0))</f>
        <v>20.179558399999998</v>
      </c>
      <c r="I8" s="187">
        <f>INDEX('Macroeconomic data'!$C$33:$AA$35, MATCH(Summary!$B$22,_xlfn.ANCHORARRAY('Macroeconomic data'!$B$33),0), MATCH('Macroeconomic data'!M32,'Macroeconomic data'!$C32:$AA32,0))</f>
        <v>22.925000000000001</v>
      </c>
      <c r="J8" s="187">
        <f>INDEX('Macroeconomic data'!$C$33:$AA$35, MATCH(Summary!$B$22,_xlfn.ANCHORARRAY('Macroeconomic data'!$B$33),0), MATCH('Macroeconomic data'!N32,'Macroeconomic data'!$C32:$AA32,0))</f>
        <v>22.232500000000002</v>
      </c>
      <c r="K8" s="187">
        <f>INDEX('Macroeconomic data'!$C$33:$AA$35, MATCH(Summary!$B$22,_xlfn.ANCHORARRAY('Macroeconomic data'!$B$33),0), MATCH('Macroeconomic data'!O32,'Macroeconomic data'!$C32:$AA32,0))</f>
        <v>22.317499999999999</v>
      </c>
      <c r="L8" s="187">
        <f>INDEX('Macroeconomic data'!$C$33:$AA$35, MATCH(Summary!$B$22,_xlfn.ANCHORARRAY('Macroeconomic data'!$B$33),0), MATCH('Macroeconomic data'!P32,'Macroeconomic data'!$C32:$AA32,0))</f>
        <v>23.079783490908842</v>
      </c>
      <c r="M8" s="187">
        <f>INDEX('Macroeconomic data'!$C$33:$AA$35, MATCH(Summary!$B$22,_xlfn.ANCHORARRAY('Macroeconomic data'!$B$33),0), MATCH('Macroeconomic data'!Q32,'Macroeconomic data'!$C32:$AA32,0))</f>
        <v>23.868103774492141</v>
      </c>
      <c r="N8" s="187">
        <f>INDEX('Macroeconomic data'!$C$33:$AA$35, MATCH(Summary!$B$22,_xlfn.ANCHORARRAY('Macroeconomic data'!$B$33),0), MATCH('Macroeconomic data'!R32,'Macroeconomic data'!$C32:$AA32,0))</f>
        <v>24.683350171561454</v>
      </c>
      <c r="O8" s="187">
        <f>INDEX('Macroeconomic data'!$C$33:$AA$35, MATCH(Summary!$B$22,_xlfn.ANCHORARRAY('Macroeconomic data'!$B$33),0), MATCH('Macroeconomic data'!S32,'Macroeconomic data'!$C32:$AA32,0))</f>
        <v>25.526442378847364</v>
      </c>
      <c r="P8" s="187">
        <f>INDEX('Macroeconomic data'!$C$33:$AA$35, MATCH(Summary!$B$22,_xlfn.ANCHORARRAY('Macroeconomic data'!$B$33),0), MATCH('Macroeconomic data'!T32,'Macroeconomic data'!$C32:$AA32,0))</f>
        <v>26.398331506528834</v>
      </c>
      <c r="Q8" s="187">
        <f>INDEX('Macroeconomic data'!$C$33:$AA$35, MATCH(Summary!$B$22,_xlfn.ANCHORARRAY('Macroeconomic data'!$B$33),0), MATCH('Macroeconomic data'!U32,'Macroeconomic data'!$C32:$AA32,0))</f>
        <v>26.849166328864797</v>
      </c>
      <c r="R8" s="187">
        <f>INDEX('Macroeconomic data'!$C$33:$AA$35, MATCH(Summary!$B$22,_xlfn.ANCHORARRAY('Macroeconomic data'!$B$33),0), MATCH('Macroeconomic data'!V32,'Macroeconomic data'!$C32:$AA32,0))</f>
        <v>27.307700578605118</v>
      </c>
      <c r="S8" s="187">
        <f>INDEX('Macroeconomic data'!$C$33:$AA$35, MATCH(Summary!$B$22,_xlfn.ANCHORARRAY('Macroeconomic data'!$B$33),0), MATCH('Macroeconomic data'!W32,'Macroeconomic data'!$C32:$AA32,0))</f>
        <v>27.774065747771751</v>
      </c>
      <c r="T8" s="187">
        <f>INDEX('Macroeconomic data'!$C$33:$AA$35, MATCH(Summary!$B$22,_xlfn.ANCHORARRAY('Macroeconomic data'!$B$33),0), MATCH('Macroeconomic data'!X32,'Macroeconomic data'!$C32:$AA32,0))</f>
        <v>28.248395574027899</v>
      </c>
      <c r="U8" s="187">
        <f>INDEX('Macroeconomic data'!$C$33:$AA$35, MATCH(Summary!$B$22,_xlfn.ANCHORARRAY('Macroeconomic data'!$B$33),0), MATCH('Macroeconomic data'!Y32,'Macroeconomic data'!$C32:$AA32,0))</f>
        <v>28.730826079029445</v>
      </c>
      <c r="V8" s="187">
        <f>INDEX('Macroeconomic data'!$C$33:$AA$35, MATCH(Summary!$B$22,_xlfn.ANCHORARRAY('Macroeconomic data'!$B$33),0), MATCH('Macroeconomic data'!Z32,'Macroeconomic data'!$C32:$AA32,0))</f>
        <v>28.730826079029445</v>
      </c>
      <c r="W8" s="187">
        <f>INDEX('Macroeconomic data'!$C$33:$AA$35, MATCH(Summary!$B$22,_xlfn.ANCHORARRAY('Macroeconomic data'!$B$33),0), MATCH('Macroeconomic data'!AA32,'Macroeconomic data'!$C32:$AA32,0))</f>
        <v>28.730826079029445</v>
      </c>
    </row>
    <row r="9" spans="1:26" x14ac:dyDescent="0.35">
      <c r="A9" s="17" t="s">
        <v>159</v>
      </c>
      <c r="B9" s="17"/>
      <c r="C9" s="213"/>
      <c r="D9" s="187">
        <f>INDEX('Macroeconomic data'!$C$39:$AA$41, MATCH(Summary!$B$22,_xlfn.ANCHORARRAY('Macroeconomic data'!$B$39),0), MATCH('Macroeconomic data'!H38,'Macroeconomic data'!$C38:$AA38,0))</f>
        <v>15.610738</v>
      </c>
      <c r="E9" s="187">
        <f>INDEX('Macroeconomic data'!$C$39:$AA$41, MATCH(Summary!$B$22,_xlfn.ANCHORARRAY('Macroeconomic data'!$B$39),0), MATCH('Macroeconomic data'!I38,'Macroeconomic data'!$C38:$AA38,0))</f>
        <v>16.17564016064258</v>
      </c>
      <c r="F9" s="187">
        <f>INDEX('Macroeconomic data'!$C$39:$AA$41, MATCH(Summary!$B$22,_xlfn.ANCHORARRAY('Macroeconomic data'!$B$39),0), MATCH('Macroeconomic data'!J38,'Macroeconomic data'!$C38:$AA38,0))</f>
        <v>18.757049999999992</v>
      </c>
      <c r="G9" s="187">
        <f>INDEX('Macroeconomic data'!$C$39:$AA$41, MATCH(Summary!$B$22,_xlfn.ANCHORARRAY('Macroeconomic data'!$B$39),0), MATCH('Macroeconomic data'!K38,'Macroeconomic data'!$C38:$AA38,0))</f>
        <v>17.480877599999989</v>
      </c>
      <c r="H9" s="187">
        <f>INDEX('Macroeconomic data'!$C$39:$AA$41, MATCH(Summary!$B$22,_xlfn.ANCHORARRAY('Macroeconomic data'!$B$39),0), MATCH('Macroeconomic data'!L38,'Macroeconomic data'!$C38:$AA38,0))</f>
        <v>17.2063676</v>
      </c>
      <c r="I9" s="187">
        <f>INDEX('Macroeconomic data'!$C$39:$AA$41, MATCH(Summary!$B$22,_xlfn.ANCHORARRAY('Macroeconomic data'!$B$39),0), MATCH('Macroeconomic data'!M38,'Macroeconomic data'!$C38:$AA38,0))</f>
        <v>19.927500000000002</v>
      </c>
      <c r="J9" s="187">
        <f>INDEX('Macroeconomic data'!$C$39:$AA$41, MATCH(Summary!$B$22,_xlfn.ANCHORARRAY('Macroeconomic data'!$B$39),0), MATCH('Macroeconomic data'!N38,'Macroeconomic data'!$C38:$AA38,0))</f>
        <v>19.37</v>
      </c>
      <c r="K9" s="187">
        <f>INDEX('Macroeconomic data'!$C$39:$AA$41, MATCH(Summary!$B$22,_xlfn.ANCHORARRAY('Macroeconomic data'!$B$39),0), MATCH('Macroeconomic data'!O38,'Macroeconomic data'!$C38:$AA38,0))</f>
        <v>19.982500000000002</v>
      </c>
      <c r="L9" s="187">
        <f>INDEX('Macroeconomic data'!$C$39:$AA$41, MATCH(Summary!$B$22,_xlfn.ANCHORARRAY('Macroeconomic data'!$B$39),0), MATCH('Macroeconomic data'!P38,'Macroeconomic data'!$C38:$AA38,0))</f>
        <v>20.699882339904839</v>
      </c>
      <c r="M9" s="187">
        <f>INDEX('Macroeconomic data'!$C$39:$AA$41, MATCH(Summary!$B$22,_xlfn.ANCHORARRAY('Macroeconomic data'!$B$39),0), MATCH('Macroeconomic data'!Q38,'Macroeconomic data'!$C38:$AA38,0))</f>
        <v>21.443019085995456</v>
      </c>
      <c r="N9" s="187">
        <f>INDEX('Macroeconomic data'!$C$39:$AA$41, MATCH(Summary!$B$22,_xlfn.ANCHORARRAY('Macroeconomic data'!$B$39),0), MATCH('Macroeconomic data'!R38,'Macroeconomic data'!$C38:$AA38,0))</f>
        <v>22.212834835102697</v>
      </c>
      <c r="O9" s="187">
        <f>INDEX('Macroeconomic data'!$C$39:$AA$41, MATCH(Summary!$B$22,_xlfn.ANCHORARRAY('Macroeconomic data'!$B$39),0), MATCH('Macroeconomic data'!S38,'Macroeconomic data'!$C38:$AA38,0))</f>
        <v>23.01028737757364</v>
      </c>
      <c r="P9" s="187">
        <f>INDEX('Macroeconomic data'!$C$39:$AA$41, MATCH(Summary!$B$22,_xlfn.ANCHORARRAY('Macroeconomic data'!$B$39),0), MATCH('Macroeconomic data'!T38,'Macroeconomic data'!$C38:$AA38,0))</f>
        <v>23.836368888936406</v>
      </c>
      <c r="Q9" s="187">
        <f>INDEX('Macroeconomic data'!$C$39:$AA$41, MATCH(Summary!$B$22,_xlfn.ANCHORARRAY('Macroeconomic data'!$B$39),0), MATCH('Macroeconomic data'!U38,'Macroeconomic data'!$C38:$AA38,0))</f>
        <v>24.264238026641397</v>
      </c>
      <c r="R9" s="187">
        <f>INDEX('Macroeconomic data'!$C$39:$AA$41, MATCH(Summary!$B$22,_xlfn.ANCHORARRAY('Macroeconomic data'!$B$39),0), MATCH('Macroeconomic data'!V38,'Macroeconomic data'!$C38:$AA38,0))</f>
        <v>24.699787528744732</v>
      </c>
      <c r="S9" s="187">
        <f>INDEX('Macroeconomic data'!$C$39:$AA$41, MATCH(Summary!$B$22,_xlfn.ANCHORARRAY('Macroeconomic data'!$B$39),0), MATCH('Macroeconomic data'!W38,'Macroeconomic data'!$C38:$AA38,0))</f>
        <v>25.143155259822503</v>
      </c>
      <c r="T9" s="187">
        <f>INDEX('Macroeconomic data'!$C$39:$AA$41, MATCH(Summary!$B$22,_xlfn.ANCHORARRAY('Macroeconomic data'!$B$39),0), MATCH('Macroeconomic data'!X38,'Macroeconomic data'!$C38:$AA38,0))</f>
        <v>25.59448155915647</v>
      </c>
      <c r="U9" s="187">
        <f>INDEX('Macroeconomic data'!$C$39:$AA$41, MATCH(Summary!$B$22,_xlfn.ANCHORARRAY('Macroeconomic data'!$B$39),0), MATCH('Macroeconomic data'!Y38,'Macroeconomic data'!$C38:$AA38,0))</f>
        <v>26.053909285155687</v>
      </c>
      <c r="V9" s="187">
        <f>INDEX('Macroeconomic data'!$C$39:$AA$41, MATCH(Summary!$B$22,_xlfn.ANCHORARRAY('Macroeconomic data'!$B$39),0), MATCH('Macroeconomic data'!Z38,'Macroeconomic data'!$C38:$AA38,0))</f>
        <v>26.053909285155687</v>
      </c>
      <c r="W9" s="187">
        <f>INDEX('Macroeconomic data'!$C$39:$AA$41, MATCH(Summary!$B$22,_xlfn.ANCHORARRAY('Macroeconomic data'!$B$39),0), MATCH('Macroeconomic data'!AA38,'Macroeconomic data'!$C38:$AA38,0))</f>
        <v>26.053909285155687</v>
      </c>
    </row>
    <row r="10" spans="1:26" x14ac:dyDescent="0.35">
      <c r="A10" s="17" t="s">
        <v>439</v>
      </c>
      <c r="B10" s="17"/>
      <c r="C10" s="237">
        <f>AVERAGE(E10:W10)</f>
        <v>2.8583056889039976E-2</v>
      </c>
      <c r="D10" s="187"/>
      <c r="E10" s="206">
        <f>E9/D9-1</f>
        <v>3.6186768405348957E-2</v>
      </c>
      <c r="F10" s="206">
        <f t="shared" ref="F10:I10" si="0">F9/E9-1</f>
        <v>0.15958625524066217</v>
      </c>
      <c r="G10" s="206">
        <f t="shared" si="0"/>
        <v>-6.8036946108263496E-2</v>
      </c>
      <c r="H10" s="206">
        <f t="shared" si="0"/>
        <v>-1.5703445003241057E-2</v>
      </c>
      <c r="I10" s="206">
        <f t="shared" si="0"/>
        <v>0.15814682466739827</v>
      </c>
      <c r="J10" s="206">
        <f t="shared" ref="J10" si="1">J9/I9-1</f>
        <v>-2.7976414502571822E-2</v>
      </c>
      <c r="K10" s="206">
        <f t="shared" ref="K10" si="2">K9/J9-1</f>
        <v>3.1621063500258062E-2</v>
      </c>
      <c r="L10" s="206">
        <f t="shared" ref="L10" si="3">L9/K9-1</f>
        <v>3.5900529958955874E-2</v>
      </c>
      <c r="M10" s="206">
        <f t="shared" ref="M10" si="4">M9/L9-1</f>
        <v>3.5900529958955874E-2</v>
      </c>
      <c r="N10" s="206">
        <f t="shared" ref="N10" si="5">N9/M9-1</f>
        <v>3.5900529958955874E-2</v>
      </c>
      <c r="O10" s="206">
        <f t="shared" ref="O10" si="6">O9/N9-1</f>
        <v>3.5900529958955874E-2</v>
      </c>
      <c r="P10" s="206">
        <f t="shared" ref="P10" si="7">P9/O9-1</f>
        <v>3.5900529958955874E-2</v>
      </c>
      <c r="Q10" s="206">
        <f t="shared" ref="Q10" si="8">Q9/P9-1</f>
        <v>1.7950264979477826E-2</v>
      </c>
      <c r="R10" s="206">
        <f t="shared" ref="R10" si="9">R9/Q9-1</f>
        <v>1.7950264979477826E-2</v>
      </c>
      <c r="S10" s="206">
        <f t="shared" ref="S10" si="10">S9/R9-1</f>
        <v>1.7950264979477826E-2</v>
      </c>
      <c r="T10" s="206">
        <f t="shared" ref="T10" si="11">T9/S9-1</f>
        <v>1.7950264979477826E-2</v>
      </c>
      <c r="U10" s="206">
        <f t="shared" ref="U10" si="12">U9/T9-1</f>
        <v>1.7950264979477826E-2</v>
      </c>
      <c r="V10" s="206">
        <f t="shared" ref="V10" si="13">V9/U9-1</f>
        <v>0</v>
      </c>
      <c r="W10" s="206">
        <f t="shared" ref="W10" si="14">W9/V9-1</f>
        <v>0</v>
      </c>
    </row>
    <row r="11" spans="1:26" x14ac:dyDescent="0.35">
      <c r="A11" s="17" t="s">
        <v>160</v>
      </c>
      <c r="B11" s="214"/>
      <c r="C11" s="215"/>
      <c r="D11" s="135">
        <f>'Macroeconomic data'!H5</f>
        <v>4.7E-2</v>
      </c>
      <c r="E11" s="135">
        <f>'Macroeconomic data'!I5</f>
        <v>4.0999999999999995E-2</v>
      </c>
      <c r="F11" s="135">
        <f>'Macroeconomic data'!J5</f>
        <v>3.3000000000000002E-2</v>
      </c>
      <c r="G11" s="135">
        <f>'Macroeconomic data'!K5</f>
        <v>4.4999999999999998E-2</v>
      </c>
      <c r="H11" s="135">
        <f>'Macroeconomic data'!L5</f>
        <v>6.9000000000000006E-2</v>
      </c>
      <c r="I11" s="135">
        <f>'Macroeconomic data'!M5</f>
        <v>0.06</v>
      </c>
      <c r="J11" s="135">
        <f>'Macroeconomic data'!N5</f>
        <v>0.05</v>
      </c>
      <c r="K11" s="135">
        <f>'Macroeconomic data'!O5</f>
        <v>4.4999999999999998E-2</v>
      </c>
      <c r="L11" s="135">
        <f>'Macroeconomic data'!P5</f>
        <v>4.4999999999999998E-2</v>
      </c>
      <c r="M11" s="135">
        <f>'Macroeconomic data'!Q5</f>
        <v>4.4999999999999998E-2</v>
      </c>
      <c r="N11" s="135">
        <f>'Macroeconomic data'!R5</f>
        <v>4.4999999999999998E-2</v>
      </c>
      <c r="O11" s="135">
        <f>'Macroeconomic data'!S5</f>
        <v>4.4999999999999998E-2</v>
      </c>
      <c r="P11" s="135">
        <f>'Macroeconomic data'!T5</f>
        <v>4.4999999999999998E-2</v>
      </c>
      <c r="Q11" s="135">
        <f>'Macroeconomic data'!U5</f>
        <v>4.4999999999999998E-2</v>
      </c>
      <c r="R11" s="135">
        <f>'Macroeconomic data'!V5</f>
        <v>4.4999999999999998E-2</v>
      </c>
      <c r="S11" s="135">
        <f>'Macroeconomic data'!W5</f>
        <v>4.4999999999999998E-2</v>
      </c>
      <c r="T11" s="135">
        <f>'Macroeconomic data'!X5</f>
        <v>4.4999999999999998E-2</v>
      </c>
      <c r="U11" s="135">
        <f>'Macroeconomic data'!Y5</f>
        <v>4.4999999999999998E-2</v>
      </c>
      <c r="V11" s="135">
        <f>'Macroeconomic data'!Z5</f>
        <v>4.4999999999999998E-2</v>
      </c>
      <c r="W11" s="135">
        <f>'Macroeconomic data'!AA5</f>
        <v>4.4999999999999998E-2</v>
      </c>
      <c r="X11" s="15" t="s">
        <v>161</v>
      </c>
    </row>
    <row r="12" spans="1:26" x14ac:dyDescent="0.35">
      <c r="A12" s="17" t="s">
        <v>348</v>
      </c>
      <c r="B12" s="17"/>
      <c r="C12" s="25"/>
      <c r="D12" s="193">
        <v>0.28000000000000003</v>
      </c>
      <c r="E12" s="193">
        <v>0.28000000000000003</v>
      </c>
      <c r="F12" s="193">
        <v>0.28000000000000003</v>
      </c>
      <c r="G12" s="193">
        <v>0.28000000000000003</v>
      </c>
      <c r="H12" s="193">
        <v>0.27</v>
      </c>
      <c r="I12" s="193">
        <v>0.27</v>
      </c>
      <c r="J12" s="193">
        <v>0.27</v>
      </c>
      <c r="K12" s="193">
        <v>0.27</v>
      </c>
      <c r="L12" s="193">
        <v>0.27</v>
      </c>
      <c r="M12" s="193">
        <v>0.27</v>
      </c>
      <c r="N12" s="193">
        <v>0.27</v>
      </c>
      <c r="O12" s="193">
        <v>0.27</v>
      </c>
      <c r="P12" s="193">
        <v>0.27</v>
      </c>
      <c r="Q12" s="193">
        <v>0.27</v>
      </c>
      <c r="R12" s="193">
        <v>0.27</v>
      </c>
      <c r="S12" s="193">
        <v>0.27</v>
      </c>
      <c r="T12" s="193">
        <v>0.27</v>
      </c>
      <c r="U12" s="193">
        <v>0.27</v>
      </c>
      <c r="V12" s="193">
        <v>0.27</v>
      </c>
      <c r="W12" s="193">
        <v>0.27</v>
      </c>
      <c r="X12" s="15"/>
      <c r="Y12" s="19" t="s">
        <v>350</v>
      </c>
      <c r="Z12" s="12" t="s">
        <v>351</v>
      </c>
    </row>
    <row r="13" spans="1:26" ht="58" x14ac:dyDescent="0.35">
      <c r="A13" s="17" t="s">
        <v>349</v>
      </c>
      <c r="B13" s="17"/>
      <c r="C13" s="25"/>
      <c r="D13" s="203">
        <v>8.8849999999999998E-2</v>
      </c>
      <c r="E13" s="203">
        <v>8.2549999999999998E-2</v>
      </c>
      <c r="F13" s="203">
        <v>8.7349999999999997E-2</v>
      </c>
      <c r="G13" s="203">
        <v>9.2499999999999999E-2</v>
      </c>
      <c r="H13" s="203">
        <v>0.10185</v>
      </c>
      <c r="I13" s="203">
        <v>0.1028</v>
      </c>
      <c r="J13" s="203">
        <v>0.1028</v>
      </c>
      <c r="K13" s="203">
        <v>0.1028</v>
      </c>
      <c r="L13" s="203">
        <v>0.1028</v>
      </c>
      <c r="M13" s="203">
        <v>0.1028</v>
      </c>
      <c r="N13" s="203">
        <v>0.1028</v>
      </c>
      <c r="O13" s="203">
        <v>0.1028</v>
      </c>
      <c r="P13" s="203">
        <v>0.1028</v>
      </c>
      <c r="Q13" s="203">
        <v>0.1028</v>
      </c>
      <c r="R13" s="203">
        <v>0.1028</v>
      </c>
      <c r="S13" s="203">
        <v>0.1028</v>
      </c>
      <c r="T13" s="203">
        <v>0.1028</v>
      </c>
      <c r="U13" s="203">
        <v>0.1028</v>
      </c>
      <c r="V13" s="203">
        <v>0.1028</v>
      </c>
      <c r="W13" s="203">
        <v>0.1028</v>
      </c>
      <c r="X13" s="15"/>
      <c r="Y13" s="217" t="s">
        <v>352</v>
      </c>
      <c r="Z13" s="39" t="s">
        <v>385</v>
      </c>
    </row>
    <row r="14" spans="1:26" x14ac:dyDescent="0.35">
      <c r="A14" s="17" t="s">
        <v>356</v>
      </c>
      <c r="B14" s="17"/>
      <c r="C14" s="25"/>
      <c r="D14" s="204">
        <v>1.525E-2</v>
      </c>
      <c r="E14" s="204">
        <v>2.0400000000000001E-2</v>
      </c>
      <c r="F14" s="204">
        <v>1.8450000000000001E-2</v>
      </c>
      <c r="G14" s="204">
        <v>1.9E-2</v>
      </c>
      <c r="H14" s="204">
        <v>1.3449999999999998E-2</v>
      </c>
      <c r="I14" s="204">
        <v>1.7500000000000002E-2</v>
      </c>
      <c r="J14" s="205">
        <v>1.7500000000000002E-2</v>
      </c>
      <c r="K14" s="205">
        <v>1.7500000000000002E-2</v>
      </c>
      <c r="L14" s="205">
        <v>1.7500000000000002E-2</v>
      </c>
      <c r="M14" s="205">
        <v>1.7500000000000002E-2</v>
      </c>
      <c r="N14" s="205">
        <v>1.7500000000000002E-2</v>
      </c>
      <c r="O14" s="205">
        <v>1.7500000000000002E-2</v>
      </c>
      <c r="P14" s="205">
        <v>1.7500000000000002E-2</v>
      </c>
      <c r="Q14" s="205">
        <v>1.7500000000000002E-2</v>
      </c>
      <c r="R14" s="205">
        <v>1.7500000000000002E-2</v>
      </c>
      <c r="S14" s="205">
        <v>1.7500000000000002E-2</v>
      </c>
      <c r="T14" s="205">
        <v>1.7500000000000002E-2</v>
      </c>
      <c r="U14" s="205">
        <v>1.7500000000000002E-2</v>
      </c>
      <c r="V14" s="205">
        <v>1.7500000000000002E-2</v>
      </c>
      <c r="W14" s="205">
        <v>1.7500000000000002E-2</v>
      </c>
      <c r="X14" s="15"/>
      <c r="Y14" s="12" t="s">
        <v>361</v>
      </c>
    </row>
    <row r="15" spans="1:26" x14ac:dyDescent="0.35">
      <c r="A15" s="17" t="s">
        <v>346</v>
      </c>
      <c r="B15" s="17"/>
      <c r="C15" s="25"/>
      <c r="D15" s="17">
        <v>1.19</v>
      </c>
      <c r="E15" s="17">
        <v>1.19</v>
      </c>
      <c r="F15" s="17">
        <v>1.19</v>
      </c>
      <c r="G15" s="17">
        <v>0.80500000000000005</v>
      </c>
      <c r="H15" s="17">
        <v>0.84499999999999997</v>
      </c>
      <c r="I15" s="17">
        <v>1.1299999999999999</v>
      </c>
      <c r="J15" s="17">
        <v>1.1299999999999999</v>
      </c>
      <c r="K15" s="17">
        <v>1.1299999999999999</v>
      </c>
      <c r="L15" s="17">
        <v>1.1299999999999999</v>
      </c>
      <c r="M15" s="17">
        <v>1.1299999999999999</v>
      </c>
      <c r="N15" s="17">
        <v>1.1299999999999999</v>
      </c>
      <c r="O15" s="17">
        <v>1.1299999999999999</v>
      </c>
      <c r="P15" s="17">
        <v>1.1299999999999999</v>
      </c>
      <c r="Q15" s="17">
        <v>1.1299999999999999</v>
      </c>
      <c r="R15" s="17">
        <v>1.1299999999999999</v>
      </c>
      <c r="S15" s="17">
        <v>1.1299999999999999</v>
      </c>
      <c r="T15" s="17">
        <v>1.1299999999999999</v>
      </c>
      <c r="U15" s="17">
        <v>1.1299999999999999</v>
      </c>
      <c r="V15" s="17">
        <v>1.1299999999999999</v>
      </c>
      <c r="W15" s="17">
        <v>1.1299999999999999</v>
      </c>
      <c r="X15" s="15"/>
      <c r="Y15" s="12" t="s">
        <v>361</v>
      </c>
    </row>
    <row r="16" spans="1:26" x14ac:dyDescent="0.35">
      <c r="A16" s="17" t="s">
        <v>357</v>
      </c>
      <c r="B16" s="17"/>
      <c r="C16" s="25"/>
      <c r="D16" s="3">
        <f t="shared" ref="D16:W16" si="15">D15*(1+(1-D12)*debt_perc/(1-debt_perc))</f>
        <v>1.5149931034482758</v>
      </c>
      <c r="E16" s="3">
        <f t="shared" si="15"/>
        <v>1.5149931034482758</v>
      </c>
      <c r="F16" s="3">
        <f t="shared" si="15"/>
        <v>1.5149931034482758</v>
      </c>
      <c r="G16" s="3">
        <f t="shared" si="15"/>
        <v>1.0248482758620689</v>
      </c>
      <c r="H16" s="3">
        <f t="shared" si="15"/>
        <v>1.0789775862068967</v>
      </c>
      <c r="I16" s="3">
        <f t="shared" si="15"/>
        <v>1.4428931034482757</v>
      </c>
      <c r="J16" s="3">
        <f t="shared" si="15"/>
        <v>1.4428931034482757</v>
      </c>
      <c r="K16" s="3">
        <f t="shared" si="15"/>
        <v>1.4428931034482757</v>
      </c>
      <c r="L16" s="3">
        <f t="shared" si="15"/>
        <v>1.4428931034482757</v>
      </c>
      <c r="M16" s="3">
        <f t="shared" si="15"/>
        <v>1.4428931034482757</v>
      </c>
      <c r="N16" s="3">
        <f t="shared" si="15"/>
        <v>1.4428931034482757</v>
      </c>
      <c r="O16" s="3">
        <f t="shared" si="15"/>
        <v>1.4428931034482757</v>
      </c>
      <c r="P16" s="3">
        <f t="shared" si="15"/>
        <v>1.4428931034482757</v>
      </c>
      <c r="Q16" s="3">
        <f t="shared" si="15"/>
        <v>1.4428931034482757</v>
      </c>
      <c r="R16" s="3">
        <f t="shared" si="15"/>
        <v>1.4428931034482757</v>
      </c>
      <c r="S16" s="3">
        <f t="shared" si="15"/>
        <v>1.4428931034482757</v>
      </c>
      <c r="T16" s="3">
        <f t="shared" si="15"/>
        <v>1.4428931034482757</v>
      </c>
      <c r="U16" s="3">
        <f t="shared" si="15"/>
        <v>1.4428931034482757</v>
      </c>
      <c r="V16" s="3">
        <f t="shared" si="15"/>
        <v>1.4428931034482757</v>
      </c>
      <c r="W16" s="3">
        <f t="shared" si="15"/>
        <v>1.4428931034482757</v>
      </c>
      <c r="X16" s="15"/>
    </row>
    <row r="17" spans="1:26" x14ac:dyDescent="0.35">
      <c r="A17" s="17" t="s">
        <v>358</v>
      </c>
      <c r="B17" s="17"/>
      <c r="C17" s="25"/>
      <c r="D17" s="204">
        <v>5.7499999999999996E-2</v>
      </c>
      <c r="E17" s="204">
        <v>5.7499999999999996E-2</v>
      </c>
      <c r="F17" s="204">
        <v>5.7499999999999996E-2</v>
      </c>
      <c r="G17" s="204">
        <v>4.9700000000000001E-2</v>
      </c>
      <c r="H17" s="204">
        <v>5.8200000000000002E-2</v>
      </c>
      <c r="I17" s="204">
        <v>5.3500000000000006E-2</v>
      </c>
      <c r="J17" s="204">
        <v>5.3500000000000006E-2</v>
      </c>
      <c r="K17" s="204">
        <v>5.3500000000000006E-2</v>
      </c>
      <c r="L17" s="204">
        <v>5.3500000000000006E-2</v>
      </c>
      <c r="M17" s="204">
        <v>5.3500000000000006E-2</v>
      </c>
      <c r="N17" s="204">
        <v>5.3500000000000006E-2</v>
      </c>
      <c r="O17" s="204">
        <v>5.3500000000000006E-2</v>
      </c>
      <c r="P17" s="204">
        <v>5.3500000000000006E-2</v>
      </c>
      <c r="Q17" s="204">
        <v>5.3500000000000006E-2</v>
      </c>
      <c r="R17" s="204">
        <v>5.3500000000000006E-2</v>
      </c>
      <c r="S17" s="204">
        <v>5.3500000000000006E-2</v>
      </c>
      <c r="T17" s="204">
        <v>5.3500000000000006E-2</v>
      </c>
      <c r="U17" s="204">
        <v>5.3500000000000006E-2</v>
      </c>
      <c r="V17" s="204">
        <v>5.3500000000000006E-2</v>
      </c>
      <c r="W17" s="204">
        <v>5.3500000000000006E-2</v>
      </c>
      <c r="X17" s="15"/>
      <c r="Y17" s="12" t="s">
        <v>361</v>
      </c>
    </row>
    <row r="18" spans="1:26" x14ac:dyDescent="0.35">
      <c r="A18" s="17" t="s">
        <v>359</v>
      </c>
      <c r="B18" s="17"/>
      <c r="C18" s="17"/>
      <c r="D18" s="187">
        <f t="shared" ref="D18:W18" si="16">D14+D13</f>
        <v>0.1041</v>
      </c>
      <c r="E18" s="187">
        <f t="shared" si="16"/>
        <v>0.10295</v>
      </c>
      <c r="F18" s="187">
        <f t="shared" si="16"/>
        <v>0.10580000000000001</v>
      </c>
      <c r="G18" s="187">
        <f t="shared" si="16"/>
        <v>0.1115</v>
      </c>
      <c r="H18" s="187">
        <f t="shared" si="16"/>
        <v>0.1153</v>
      </c>
      <c r="I18" s="187">
        <f t="shared" si="16"/>
        <v>0.1203</v>
      </c>
      <c r="J18" s="187">
        <f t="shared" si="16"/>
        <v>0.1203</v>
      </c>
      <c r="K18" s="187">
        <f t="shared" si="16"/>
        <v>0.1203</v>
      </c>
      <c r="L18" s="187">
        <f t="shared" si="16"/>
        <v>0.1203</v>
      </c>
      <c r="M18" s="187">
        <f t="shared" si="16"/>
        <v>0.1203</v>
      </c>
      <c r="N18" s="187">
        <f t="shared" si="16"/>
        <v>0.1203</v>
      </c>
      <c r="O18" s="187">
        <f t="shared" si="16"/>
        <v>0.1203</v>
      </c>
      <c r="P18" s="187">
        <f t="shared" si="16"/>
        <v>0.1203</v>
      </c>
      <c r="Q18" s="187">
        <f t="shared" si="16"/>
        <v>0.1203</v>
      </c>
      <c r="R18" s="187">
        <f t="shared" si="16"/>
        <v>0.1203</v>
      </c>
      <c r="S18" s="187">
        <f t="shared" si="16"/>
        <v>0.1203</v>
      </c>
      <c r="T18" s="187">
        <f t="shared" si="16"/>
        <v>0.1203</v>
      </c>
      <c r="U18" s="187">
        <f t="shared" si="16"/>
        <v>0.1203</v>
      </c>
      <c r="V18" s="187">
        <f t="shared" si="16"/>
        <v>0.1203</v>
      </c>
      <c r="W18" s="187">
        <f t="shared" si="16"/>
        <v>0.1203</v>
      </c>
    </row>
    <row r="19" spans="1:26" x14ac:dyDescent="0.35">
      <c r="A19" s="17" t="s">
        <v>360</v>
      </c>
      <c r="B19" s="17"/>
      <c r="C19" s="17"/>
      <c r="D19" s="187">
        <f t="shared" ref="D19:W19" si="17">D13+D16*D17</f>
        <v>0.17596210344827584</v>
      </c>
      <c r="E19" s="187">
        <f t="shared" si="17"/>
        <v>0.16966210344827584</v>
      </c>
      <c r="F19" s="187">
        <f t="shared" si="17"/>
        <v>0.17446210344827584</v>
      </c>
      <c r="G19" s="187">
        <f t="shared" si="17"/>
        <v>0.14343495931034483</v>
      </c>
      <c r="H19" s="187">
        <f t="shared" si="17"/>
        <v>0.16464649551724136</v>
      </c>
      <c r="I19" s="187">
        <f t="shared" si="17"/>
        <v>0.17999478103448274</v>
      </c>
      <c r="J19" s="187">
        <f t="shared" si="17"/>
        <v>0.17999478103448274</v>
      </c>
      <c r="K19" s="187">
        <f t="shared" si="17"/>
        <v>0.17999478103448274</v>
      </c>
      <c r="L19" s="187">
        <f t="shared" si="17"/>
        <v>0.17999478103448274</v>
      </c>
      <c r="M19" s="187">
        <f t="shared" si="17"/>
        <v>0.17999478103448274</v>
      </c>
      <c r="N19" s="187">
        <f t="shared" si="17"/>
        <v>0.17999478103448274</v>
      </c>
      <c r="O19" s="187">
        <f t="shared" si="17"/>
        <v>0.17999478103448274</v>
      </c>
      <c r="P19" s="187">
        <f t="shared" si="17"/>
        <v>0.17999478103448274</v>
      </c>
      <c r="Q19" s="187">
        <f t="shared" si="17"/>
        <v>0.17999478103448274</v>
      </c>
      <c r="R19" s="187">
        <f t="shared" si="17"/>
        <v>0.17999478103448274</v>
      </c>
      <c r="S19" s="187">
        <f t="shared" si="17"/>
        <v>0.17999478103448274</v>
      </c>
      <c r="T19" s="187">
        <f t="shared" si="17"/>
        <v>0.17999478103448274</v>
      </c>
      <c r="U19" s="187">
        <f t="shared" si="17"/>
        <v>0.17999478103448274</v>
      </c>
      <c r="V19" s="187">
        <f t="shared" si="17"/>
        <v>0.17999478103448274</v>
      </c>
      <c r="W19" s="187">
        <f t="shared" si="17"/>
        <v>0.17999478103448274</v>
      </c>
    </row>
    <row r="20" spans="1:26" x14ac:dyDescent="0.35">
      <c r="A20" s="17" t="s">
        <v>347</v>
      </c>
      <c r="B20" s="17"/>
      <c r="C20" s="17"/>
      <c r="D20" s="206">
        <f t="shared" ref="D20:W20" si="18">D18*debt_perc*(1-D12)+D19*(1-debt_perc)</f>
        <v>0.14818432500000001</v>
      </c>
      <c r="E20" s="206">
        <f t="shared" si="18"/>
        <v>0.14338912499999998</v>
      </c>
      <c r="F20" s="206">
        <f t="shared" si="18"/>
        <v>0.14743342499999998</v>
      </c>
      <c r="G20" s="206">
        <f t="shared" si="18"/>
        <v>0.12606734549999998</v>
      </c>
      <c r="H20" s="206">
        <f t="shared" si="18"/>
        <v>0.14251518424999998</v>
      </c>
      <c r="I20" s="206">
        <f t="shared" si="18"/>
        <v>0.15464644124999999</v>
      </c>
      <c r="J20" s="206">
        <f t="shared" si="18"/>
        <v>0.15464644124999999</v>
      </c>
      <c r="K20" s="206">
        <f t="shared" si="18"/>
        <v>0.15464644124999999</v>
      </c>
      <c r="L20" s="206">
        <f t="shared" si="18"/>
        <v>0.15464644124999999</v>
      </c>
      <c r="M20" s="206">
        <f t="shared" si="18"/>
        <v>0.15464644124999999</v>
      </c>
      <c r="N20" s="206">
        <f t="shared" si="18"/>
        <v>0.15464644124999999</v>
      </c>
      <c r="O20" s="206">
        <f t="shared" si="18"/>
        <v>0.15464644124999999</v>
      </c>
      <c r="P20" s="206">
        <f t="shared" si="18"/>
        <v>0.15464644124999999</v>
      </c>
      <c r="Q20" s="206">
        <f t="shared" si="18"/>
        <v>0.15464644124999999</v>
      </c>
      <c r="R20" s="206">
        <f t="shared" si="18"/>
        <v>0.15464644124999999</v>
      </c>
      <c r="S20" s="206">
        <f t="shared" si="18"/>
        <v>0.15464644124999999</v>
      </c>
      <c r="T20" s="206">
        <f t="shared" si="18"/>
        <v>0.15464644124999999</v>
      </c>
      <c r="U20" s="206">
        <f t="shared" si="18"/>
        <v>0.15464644124999999</v>
      </c>
      <c r="V20" s="206">
        <f t="shared" si="18"/>
        <v>0.15464644124999999</v>
      </c>
      <c r="W20" s="206">
        <f t="shared" si="18"/>
        <v>0.15464644124999999</v>
      </c>
    </row>
    <row r="21" spans="1:26" x14ac:dyDescent="0.35">
      <c r="A21" s="41" t="s">
        <v>162</v>
      </c>
      <c r="B21" s="17"/>
      <c r="C21" s="17"/>
      <c r="D21" s="194">
        <f t="shared" ref="D21:W21" si="19">(1+D22)/(1+D11)-1</f>
        <v>0.15168248567335252</v>
      </c>
      <c r="E21" s="194">
        <f t="shared" si="19"/>
        <v>0.15192273054755057</v>
      </c>
      <c r="F21" s="194">
        <f t="shared" si="19"/>
        <v>0.16628136092287837</v>
      </c>
      <c r="G21" s="194">
        <f t="shared" si="19"/>
        <v>0.12449142145135572</v>
      </c>
      <c r="H21" s="194">
        <f t="shared" si="19"/>
        <v>0.11807883984520173</v>
      </c>
      <c r="I21" s="194">
        <f t="shared" si="19"/>
        <v>0.14324947176272929</v>
      </c>
      <c r="J21" s="194">
        <f t="shared" si="19"/>
        <v>0.1541375619699934</v>
      </c>
      <c r="K21" s="194">
        <f t="shared" si="19"/>
        <v>0.15965975126171594</v>
      </c>
      <c r="L21" s="194">
        <f t="shared" si="19"/>
        <v>0.15965975126171594</v>
      </c>
      <c r="M21" s="194">
        <f t="shared" si="19"/>
        <v>0.15965975126171594</v>
      </c>
      <c r="N21" s="194">
        <f t="shared" si="19"/>
        <v>0.15965975126171594</v>
      </c>
      <c r="O21" s="194">
        <f t="shared" si="19"/>
        <v>0.15965975126171594</v>
      </c>
      <c r="P21" s="194">
        <f t="shared" si="19"/>
        <v>0.15965975126171594</v>
      </c>
      <c r="Q21" s="194">
        <f t="shared" si="19"/>
        <v>0.15965975126171594</v>
      </c>
      <c r="R21" s="194">
        <f t="shared" si="19"/>
        <v>0.15965975126171594</v>
      </c>
      <c r="S21" s="194">
        <f t="shared" si="19"/>
        <v>0.15965975126171594</v>
      </c>
      <c r="T21" s="194">
        <f t="shared" si="19"/>
        <v>0.15965975126171594</v>
      </c>
      <c r="U21" s="194">
        <f t="shared" si="19"/>
        <v>0.15965975126171594</v>
      </c>
      <c r="V21" s="194">
        <f t="shared" si="19"/>
        <v>0.15965975126171594</v>
      </c>
      <c r="W21" s="194">
        <f t="shared" si="19"/>
        <v>0.15965975126171594</v>
      </c>
      <c r="X21" s="15" t="s">
        <v>387</v>
      </c>
    </row>
    <row r="22" spans="1:26" x14ac:dyDescent="0.35">
      <c r="A22" s="17" t="s">
        <v>163</v>
      </c>
      <c r="B22" s="17"/>
      <c r="C22" s="17"/>
      <c r="D22" s="194">
        <f t="shared" ref="D22:W22" si="20">D20/(1-D12)</f>
        <v>0.20581156250000002</v>
      </c>
      <c r="E22" s="194">
        <f t="shared" si="20"/>
        <v>0.19915156249999999</v>
      </c>
      <c r="F22" s="194">
        <f t="shared" si="20"/>
        <v>0.20476864583333332</v>
      </c>
      <c r="G22" s="194">
        <f t="shared" si="20"/>
        <v>0.17509353541666664</v>
      </c>
      <c r="H22" s="194">
        <f t="shared" si="20"/>
        <v>0.19522627979452054</v>
      </c>
      <c r="I22" s="194">
        <f t="shared" si="20"/>
        <v>0.21184444006849315</v>
      </c>
      <c r="J22" s="194">
        <f t="shared" si="20"/>
        <v>0.21184444006849315</v>
      </c>
      <c r="K22" s="194">
        <f t="shared" si="20"/>
        <v>0.21184444006849315</v>
      </c>
      <c r="L22" s="194">
        <f t="shared" si="20"/>
        <v>0.21184444006849315</v>
      </c>
      <c r="M22" s="194">
        <f t="shared" si="20"/>
        <v>0.21184444006849315</v>
      </c>
      <c r="N22" s="194">
        <f t="shared" si="20"/>
        <v>0.21184444006849315</v>
      </c>
      <c r="O22" s="194">
        <f t="shared" si="20"/>
        <v>0.21184444006849315</v>
      </c>
      <c r="P22" s="194">
        <f t="shared" si="20"/>
        <v>0.21184444006849315</v>
      </c>
      <c r="Q22" s="194">
        <f t="shared" si="20"/>
        <v>0.21184444006849315</v>
      </c>
      <c r="R22" s="194">
        <f t="shared" si="20"/>
        <v>0.21184444006849315</v>
      </c>
      <c r="S22" s="194">
        <f t="shared" si="20"/>
        <v>0.21184444006849315</v>
      </c>
      <c r="T22" s="194">
        <f t="shared" si="20"/>
        <v>0.21184444006849315</v>
      </c>
      <c r="U22" s="194">
        <f t="shared" si="20"/>
        <v>0.21184444006849315</v>
      </c>
      <c r="V22" s="194">
        <f t="shared" si="20"/>
        <v>0.21184444006849315</v>
      </c>
      <c r="W22" s="194">
        <f t="shared" si="20"/>
        <v>0.21184444006849315</v>
      </c>
      <c r="X22" s="15" t="s">
        <v>386</v>
      </c>
    </row>
    <row r="23" spans="1:26" x14ac:dyDescent="0.35">
      <c r="A23" s="17" t="s">
        <v>164</v>
      </c>
      <c r="B23" s="17"/>
      <c r="C23" s="17"/>
      <c r="D23" s="3">
        <f>1+D22</f>
        <v>1.2058115625000001</v>
      </c>
      <c r="E23" s="3">
        <f t="shared" ref="E23:W23" si="21">D23*(1+E22)</f>
        <v>1.4459508192524415</v>
      </c>
      <c r="F23" s="3">
        <f t="shared" si="21"/>
        <v>1.7420362104523628</v>
      </c>
      <c r="G23" s="3">
        <f t="shared" si="21"/>
        <v>2.0470554893643196</v>
      </c>
      <c r="H23" s="3">
        <f t="shared" si="21"/>
        <v>2.4466945170858674</v>
      </c>
      <c r="I23" s="3">
        <f t="shared" si="21"/>
        <v>2.9650131470765753</v>
      </c>
      <c r="J23" s="3">
        <f t="shared" si="21"/>
        <v>3.5931346970147331</v>
      </c>
      <c r="K23" s="3">
        <f t="shared" si="21"/>
        <v>4.3543203049944941</v>
      </c>
      <c r="L23" s="3">
        <f t="shared" si="21"/>
        <v>5.2767588518849227</v>
      </c>
      <c r="M23" s="3">
        <f t="shared" si="21"/>
        <v>6.3946108762389491</v>
      </c>
      <c r="N23" s="3">
        <f t="shared" si="21"/>
        <v>7.7492736367716857</v>
      </c>
      <c r="O23" s="3">
        <f t="shared" si="21"/>
        <v>9.3909141712911186</v>
      </c>
      <c r="P23" s="3">
        <f t="shared" si="21"/>
        <v>11.380327125639562</v>
      </c>
      <c r="Q23" s="3">
        <f t="shared" si="21"/>
        <v>13.79118615336696</v>
      </c>
      <c r="R23" s="3">
        <f t="shared" si="21"/>
        <v>16.71277226190734</v>
      </c>
      <c r="S23" s="3">
        <f t="shared" si="21"/>
        <v>20.253280143723345</v>
      </c>
      <c r="T23" s="3">
        <f t="shared" si="21"/>
        <v>24.543824935320746</v>
      </c>
      <c r="U23" s="3">
        <f t="shared" si="21"/>
        <v>29.743297785882888</v>
      </c>
      <c r="V23" s="3">
        <f t="shared" si="21"/>
        <v>36.044250051123697</v>
      </c>
      <c r="W23" s="3">
        <f t="shared" si="21"/>
        <v>43.680024020892752</v>
      </c>
      <c r="X23" s="15" t="s">
        <v>165</v>
      </c>
      <c r="Z23" s="72"/>
    </row>
    <row r="24" spans="1:26" x14ac:dyDescent="0.35">
      <c r="F24" s="133"/>
      <c r="G24" s="133"/>
      <c r="H24" s="133"/>
      <c r="I24" s="133"/>
      <c r="J24" s="133"/>
      <c r="K24" s="133"/>
    </row>
  </sheetData>
  <hyperlinks>
    <hyperlink ref="Y13" r:id="rId1" location=":~:text=The%20South%20Africa%2010%20Years,%3A15%20GMT%2B0)." display="http://www.worldgovernmentbonds.com/bond-historical-data/south-africa/10-years/ - :~:text=The%20South%20Africa%2010%20Years,%3A15%20GMT%2B0)." xr:uid="{3C8170BD-62FA-4EF8-A2A9-414E3B577C82}"/>
    <hyperlink ref="Y12" r:id="rId2" display="https://orbitax.com/taxhub/corporatetaxrates/ZA/South-Africa" xr:uid="{DFB7BEC6-3E49-46C7-BB08-C7D2B637B68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C01A4-9C22-404D-8E84-8F0926AC5101}">
  <dimension ref="A1:AA65"/>
  <sheetViews>
    <sheetView workbookViewId="0">
      <selection activeCell="J23" sqref="J23"/>
    </sheetView>
  </sheetViews>
  <sheetFormatPr defaultColWidth="8.54296875" defaultRowHeight="14.5" x14ac:dyDescent="0.35"/>
  <cols>
    <col min="1" max="1" width="45.54296875" style="12" customWidth="1"/>
    <col min="2" max="2" width="25.54296875" style="12" customWidth="1"/>
    <col min="3" max="7" width="10.54296875" style="12" customWidth="1"/>
    <col min="8" max="27" width="15.54296875" style="12" customWidth="1"/>
    <col min="28" max="16384" width="8.54296875" style="12"/>
  </cols>
  <sheetData>
    <row r="1" spans="1:27" ht="18" x14ac:dyDescent="0.4">
      <c r="A1" s="88" t="s">
        <v>265</v>
      </c>
      <c r="B1" s="90"/>
      <c r="C1" s="90"/>
      <c r="D1" s="91"/>
      <c r="E1" s="91"/>
      <c r="F1" s="91"/>
      <c r="G1" s="91"/>
      <c r="H1" s="91"/>
      <c r="I1" s="91"/>
      <c r="J1" s="91"/>
      <c r="K1" s="91"/>
      <c r="L1" s="91"/>
      <c r="M1" s="91"/>
      <c r="N1" s="91"/>
      <c r="O1" s="91"/>
      <c r="P1" s="91"/>
      <c r="Q1" s="91"/>
      <c r="R1" s="91"/>
      <c r="S1" s="91"/>
      <c r="T1" s="91"/>
      <c r="U1" s="91"/>
      <c r="V1" s="91"/>
      <c r="W1" s="91"/>
      <c r="X1" s="91"/>
    </row>
    <row r="3" spans="1:27" x14ac:dyDescent="0.35">
      <c r="A3" s="48" t="s">
        <v>160</v>
      </c>
    </row>
    <row r="4" spans="1:27" x14ac:dyDescent="0.35">
      <c r="A4" s="29" t="s">
        <v>266</v>
      </c>
      <c r="B4" s="29" t="s">
        <v>267</v>
      </c>
      <c r="C4" s="47"/>
      <c r="D4" s="47"/>
      <c r="E4" s="47"/>
      <c r="F4" s="47"/>
      <c r="G4" s="47"/>
      <c r="H4" s="52">
        <v>2018</v>
      </c>
      <c r="I4" s="52">
        <v>2019</v>
      </c>
      <c r="J4" s="52">
        <v>2020</v>
      </c>
      <c r="K4" s="52">
        <v>2021</v>
      </c>
      <c r="L4" s="52">
        <v>2022</v>
      </c>
      <c r="M4" s="52">
        <v>2023</v>
      </c>
      <c r="N4" s="52">
        <v>2024</v>
      </c>
      <c r="O4" s="52">
        <v>2025</v>
      </c>
      <c r="P4" s="52">
        <v>2026</v>
      </c>
      <c r="Q4" s="52">
        <v>2027</v>
      </c>
      <c r="R4" s="52">
        <v>2028</v>
      </c>
      <c r="S4" s="52">
        <v>2029</v>
      </c>
      <c r="T4" s="52">
        <v>2030</v>
      </c>
      <c r="U4" s="52">
        <v>2031</v>
      </c>
      <c r="V4" s="52">
        <v>2032</v>
      </c>
      <c r="W4" s="52">
        <v>2033</v>
      </c>
      <c r="X4" s="52">
        <v>2034</v>
      </c>
      <c r="Y4" s="52">
        <v>2035</v>
      </c>
      <c r="Z4" s="52">
        <v>2036</v>
      </c>
      <c r="AA4" s="52">
        <v>2037</v>
      </c>
    </row>
    <row r="5" spans="1:27" x14ac:dyDescent="0.35">
      <c r="A5" s="43" t="s">
        <v>268</v>
      </c>
      <c r="B5" s="113" t="s">
        <v>269</v>
      </c>
      <c r="C5" s="190"/>
      <c r="D5" s="190"/>
      <c r="E5" s="190"/>
      <c r="F5" s="190"/>
      <c r="G5" s="190"/>
      <c r="H5" s="180">
        <f>4.7/100</f>
        <v>4.7E-2</v>
      </c>
      <c r="I5" s="180">
        <f>4.1/100</f>
        <v>4.0999999999999995E-2</v>
      </c>
      <c r="J5" s="180">
        <f>3.3/100</f>
        <v>3.3000000000000002E-2</v>
      </c>
      <c r="K5" s="180">
        <f>4.5/100</f>
        <v>4.4999999999999998E-2</v>
      </c>
      <c r="L5" s="180">
        <f>6.9/100</f>
        <v>6.9000000000000006E-2</v>
      </c>
      <c r="M5" s="180">
        <f>6/100</f>
        <v>0.06</v>
      </c>
      <c r="N5" s="180">
        <f>5/100</f>
        <v>0.05</v>
      </c>
      <c r="O5" s="180">
        <f t="shared" ref="O5:AA5" si="0">4.5/100</f>
        <v>4.4999999999999998E-2</v>
      </c>
      <c r="P5" s="180">
        <f t="shared" si="0"/>
        <v>4.4999999999999998E-2</v>
      </c>
      <c r="Q5" s="180">
        <f t="shared" si="0"/>
        <v>4.4999999999999998E-2</v>
      </c>
      <c r="R5" s="180">
        <f t="shared" si="0"/>
        <v>4.4999999999999998E-2</v>
      </c>
      <c r="S5" s="180">
        <f t="shared" si="0"/>
        <v>4.4999999999999998E-2</v>
      </c>
      <c r="T5" s="180">
        <f t="shared" si="0"/>
        <v>4.4999999999999998E-2</v>
      </c>
      <c r="U5" s="180">
        <f t="shared" si="0"/>
        <v>4.4999999999999998E-2</v>
      </c>
      <c r="V5" s="180">
        <f t="shared" si="0"/>
        <v>4.4999999999999998E-2</v>
      </c>
      <c r="W5" s="180">
        <f t="shared" si="0"/>
        <v>4.4999999999999998E-2</v>
      </c>
      <c r="X5" s="181">
        <f t="shared" si="0"/>
        <v>4.4999999999999998E-2</v>
      </c>
      <c r="Y5" s="181">
        <f t="shared" si="0"/>
        <v>4.4999999999999998E-2</v>
      </c>
      <c r="Z5" s="181">
        <f t="shared" si="0"/>
        <v>4.4999999999999998E-2</v>
      </c>
      <c r="AA5" s="181">
        <f t="shared" si="0"/>
        <v>4.4999999999999998E-2</v>
      </c>
    </row>
    <row r="6" spans="1:27" x14ac:dyDescent="0.35">
      <c r="A6" s="34" t="s">
        <v>270</v>
      </c>
      <c r="B6" s="35"/>
      <c r="C6" s="35"/>
      <c r="D6" s="35"/>
      <c r="E6" s="35"/>
      <c r="F6" s="35"/>
      <c r="G6" s="35"/>
      <c r="H6" s="35"/>
      <c r="I6" s="35"/>
      <c r="J6" s="35"/>
      <c r="K6" s="35"/>
      <c r="L6" s="35"/>
      <c r="M6" s="35"/>
      <c r="N6" s="35"/>
      <c r="O6" s="35"/>
      <c r="P6" s="35"/>
      <c r="Q6" s="35"/>
      <c r="R6" s="35"/>
      <c r="S6" s="35"/>
      <c r="T6" s="35"/>
      <c r="U6" s="35"/>
      <c r="V6" s="35"/>
      <c r="W6" s="36"/>
    </row>
    <row r="7" spans="1:27" x14ac:dyDescent="0.35">
      <c r="A7" s="37" t="s">
        <v>271</v>
      </c>
      <c r="B7" s="20" t="s">
        <v>272</v>
      </c>
      <c r="W7" s="38"/>
    </row>
    <row r="8" spans="1:27" x14ac:dyDescent="0.35">
      <c r="A8" s="37" t="s">
        <v>273</v>
      </c>
      <c r="B8" s="20" t="s">
        <v>354</v>
      </c>
      <c r="W8" s="38"/>
    </row>
    <row r="9" spans="1:27" x14ac:dyDescent="0.35">
      <c r="A9" s="42" t="s">
        <v>274</v>
      </c>
      <c r="B9" s="20" t="s">
        <v>354</v>
      </c>
      <c r="W9" s="38"/>
    </row>
    <row r="10" spans="1:27" x14ac:dyDescent="0.35">
      <c r="A10" s="44" t="s">
        <v>275</v>
      </c>
      <c r="B10" s="45"/>
      <c r="C10" s="45"/>
      <c r="D10" s="45"/>
      <c r="E10" s="45"/>
      <c r="F10" s="45"/>
      <c r="G10" s="45"/>
      <c r="H10" s="45"/>
      <c r="I10" s="45"/>
      <c r="J10" s="45"/>
      <c r="K10" s="45"/>
      <c r="L10" s="45"/>
      <c r="M10" s="45"/>
      <c r="N10" s="45"/>
      <c r="O10" s="45"/>
      <c r="P10" s="45"/>
      <c r="Q10" s="45"/>
      <c r="R10" s="45"/>
      <c r="S10" s="45"/>
      <c r="T10" s="45"/>
      <c r="U10" s="45"/>
      <c r="V10" s="45"/>
      <c r="W10" s="46"/>
    </row>
    <row r="13" spans="1:27" x14ac:dyDescent="0.35">
      <c r="A13" s="48" t="s">
        <v>276</v>
      </c>
    </row>
    <row r="14" spans="1:27" x14ac:dyDescent="0.35">
      <c r="A14" s="30" t="s">
        <v>277</v>
      </c>
      <c r="B14" s="144"/>
      <c r="C14" s="52"/>
      <c r="D14" s="52"/>
      <c r="E14" s="52"/>
      <c r="F14" s="52"/>
      <c r="G14" s="52"/>
      <c r="H14" s="52">
        <f t="shared" ref="H14:AA14" si="1">H4</f>
        <v>2018</v>
      </c>
      <c r="I14" s="52">
        <f t="shared" si="1"/>
        <v>2019</v>
      </c>
      <c r="J14" s="52">
        <f t="shared" si="1"/>
        <v>2020</v>
      </c>
      <c r="K14" s="52">
        <f t="shared" si="1"/>
        <v>2021</v>
      </c>
      <c r="L14" s="52">
        <f t="shared" si="1"/>
        <v>2022</v>
      </c>
      <c r="M14" s="52">
        <f t="shared" si="1"/>
        <v>2023</v>
      </c>
      <c r="N14" s="52">
        <f t="shared" si="1"/>
        <v>2024</v>
      </c>
      <c r="O14" s="52">
        <f t="shared" si="1"/>
        <v>2025</v>
      </c>
      <c r="P14" s="52">
        <f t="shared" si="1"/>
        <v>2026</v>
      </c>
      <c r="Q14" s="52">
        <f t="shared" si="1"/>
        <v>2027</v>
      </c>
      <c r="R14" s="52">
        <f t="shared" si="1"/>
        <v>2028</v>
      </c>
      <c r="S14" s="52">
        <f t="shared" si="1"/>
        <v>2029</v>
      </c>
      <c r="T14" s="52">
        <f t="shared" si="1"/>
        <v>2030</v>
      </c>
      <c r="U14" s="52">
        <f t="shared" si="1"/>
        <v>2031</v>
      </c>
      <c r="V14" s="52">
        <f t="shared" si="1"/>
        <v>2032</v>
      </c>
      <c r="W14" s="52">
        <f t="shared" si="1"/>
        <v>2033</v>
      </c>
      <c r="X14" s="52">
        <f t="shared" si="1"/>
        <v>2034</v>
      </c>
      <c r="Y14" s="52">
        <f t="shared" si="1"/>
        <v>2035</v>
      </c>
      <c r="Z14" s="52">
        <f t="shared" si="1"/>
        <v>2036</v>
      </c>
      <c r="AA14" s="52">
        <f t="shared" si="1"/>
        <v>2037</v>
      </c>
    </row>
    <row r="15" spans="1:27" x14ac:dyDescent="0.35">
      <c r="A15" s="103" t="s">
        <v>278</v>
      </c>
      <c r="B15" s="35" t="s">
        <v>279</v>
      </c>
      <c r="C15" s="40"/>
      <c r="D15" s="40"/>
      <c r="E15" s="40"/>
      <c r="F15" s="40"/>
      <c r="G15" s="40"/>
      <c r="H15" s="40"/>
      <c r="I15" s="40"/>
      <c r="J15" s="40"/>
      <c r="K15" s="40"/>
      <c r="L15" s="143">
        <f>6.58/100</f>
        <v>6.5799999999999997E-2</v>
      </c>
      <c r="M15" s="40"/>
      <c r="N15" s="40"/>
      <c r="O15" s="40"/>
      <c r="P15" s="40"/>
      <c r="Q15" s="40"/>
      <c r="R15" s="40"/>
      <c r="S15" s="40"/>
      <c r="T15" s="40"/>
      <c r="U15" s="40"/>
      <c r="V15" s="40"/>
      <c r="W15" s="40"/>
      <c r="X15" s="40"/>
      <c r="Y15" s="40"/>
      <c r="Z15" s="40"/>
      <c r="AA15" s="40"/>
    </row>
    <row r="16" spans="1:27" x14ac:dyDescent="0.35">
      <c r="A16" s="37" t="s">
        <v>280</v>
      </c>
      <c r="B16" s="12" t="s">
        <v>279</v>
      </c>
      <c r="C16" s="17"/>
      <c r="D16" s="17"/>
      <c r="E16" s="17"/>
      <c r="F16" s="17"/>
      <c r="G16" s="17"/>
      <c r="H16" s="17"/>
      <c r="I16" s="17"/>
      <c r="J16" s="17"/>
      <c r="K16" s="17"/>
      <c r="L16" s="25">
        <f>7.47/100</f>
        <v>7.4700000000000003E-2</v>
      </c>
      <c r="M16" s="17"/>
      <c r="N16" s="17"/>
      <c r="O16" s="17"/>
      <c r="P16" s="17"/>
      <c r="Q16" s="17"/>
      <c r="R16" s="17"/>
      <c r="S16" s="17"/>
      <c r="T16" s="17"/>
      <c r="U16" s="17"/>
      <c r="V16" s="17"/>
      <c r="W16" s="17"/>
      <c r="X16" s="17"/>
      <c r="Y16" s="17"/>
      <c r="Z16" s="17"/>
      <c r="AA16" s="17"/>
    </row>
    <row r="17" spans="1:27" x14ac:dyDescent="0.35">
      <c r="A17" s="37" t="s">
        <v>281</v>
      </c>
      <c r="B17" s="12" t="s">
        <v>282</v>
      </c>
      <c r="C17" s="17"/>
      <c r="D17" s="17"/>
      <c r="E17" s="17"/>
      <c r="F17" s="17"/>
      <c r="G17" s="17"/>
      <c r="H17" s="17"/>
      <c r="I17" s="17"/>
      <c r="J17" s="25"/>
      <c r="K17" s="17"/>
      <c r="L17" s="78">
        <f>8.62/100</f>
        <v>8.6199999999999999E-2</v>
      </c>
      <c r="M17" s="17"/>
      <c r="N17" s="17"/>
      <c r="O17" s="17"/>
      <c r="P17" s="17"/>
      <c r="Q17" s="17"/>
      <c r="R17" s="17"/>
      <c r="S17" s="17"/>
      <c r="T17" s="17"/>
      <c r="U17" s="17"/>
      <c r="V17" s="17"/>
      <c r="W17" s="17"/>
      <c r="X17" s="17"/>
      <c r="Y17" s="17"/>
      <c r="Z17" s="17"/>
      <c r="AA17" s="17"/>
    </row>
    <row r="18" spans="1:27" x14ac:dyDescent="0.35">
      <c r="A18" s="37" t="s">
        <v>283</v>
      </c>
      <c r="B18" s="12" t="s">
        <v>282</v>
      </c>
      <c r="C18" s="17"/>
      <c r="D18" s="17"/>
      <c r="E18" s="17"/>
      <c r="F18" s="17"/>
      <c r="G18" s="17"/>
      <c r="H18" s="17"/>
      <c r="I18" s="17"/>
      <c r="J18" s="17"/>
      <c r="K18" s="17"/>
      <c r="L18" s="25">
        <f>10.19/100</f>
        <v>0.10189999999999999</v>
      </c>
      <c r="M18" s="17"/>
      <c r="N18" s="17"/>
      <c r="O18" s="17"/>
      <c r="P18" s="17"/>
      <c r="Q18" s="17"/>
      <c r="R18" s="17"/>
      <c r="S18" s="17"/>
      <c r="T18" s="17"/>
      <c r="U18" s="17"/>
      <c r="V18" s="17"/>
      <c r="W18" s="17"/>
      <c r="X18" s="17"/>
      <c r="Y18" s="17"/>
      <c r="Z18" s="17"/>
      <c r="AA18" s="17"/>
    </row>
    <row r="19" spans="1:27" x14ac:dyDescent="0.35">
      <c r="A19" s="44" t="s">
        <v>284</v>
      </c>
      <c r="B19" s="45" t="s">
        <v>282</v>
      </c>
      <c r="C19" s="17"/>
      <c r="D19" s="17"/>
      <c r="E19" s="17"/>
      <c r="F19" s="17"/>
      <c r="G19" s="17"/>
      <c r="H19" s="17"/>
      <c r="I19" s="17"/>
      <c r="J19" s="17"/>
      <c r="K19" s="17"/>
      <c r="L19" s="25">
        <f>11.31/100</f>
        <v>0.11310000000000001</v>
      </c>
      <c r="M19" s="17"/>
      <c r="N19" s="17"/>
      <c r="O19" s="17"/>
      <c r="P19" s="17"/>
      <c r="Q19" s="17"/>
      <c r="R19" s="17"/>
      <c r="S19" s="17"/>
      <c r="T19" s="17"/>
      <c r="U19" s="17"/>
      <c r="V19" s="17"/>
      <c r="W19" s="17"/>
      <c r="X19" s="17"/>
      <c r="Y19" s="17"/>
      <c r="Z19" s="17"/>
      <c r="AA19" s="17"/>
    </row>
    <row r="20" spans="1:27" x14ac:dyDescent="0.35">
      <c r="H20" s="24"/>
    </row>
    <row r="21" spans="1:27" x14ac:dyDescent="0.35">
      <c r="A21" s="22" t="s">
        <v>46</v>
      </c>
      <c r="B21" s="35"/>
      <c r="C21" s="35"/>
      <c r="D21" s="36"/>
    </row>
    <row r="22" spans="1:27" ht="17.899999999999999" customHeight="1" x14ac:dyDescent="0.35">
      <c r="A22" s="109" t="s">
        <v>285</v>
      </c>
      <c r="B22" s="254" t="s">
        <v>286</v>
      </c>
      <c r="C22" s="240"/>
      <c r="D22" s="255"/>
    </row>
    <row r="23" spans="1:27" x14ac:dyDescent="0.35">
      <c r="A23" s="110" t="s">
        <v>287</v>
      </c>
      <c r="B23" s="254"/>
      <c r="C23" s="240"/>
      <c r="D23" s="255"/>
    </row>
    <row r="24" spans="1:27" x14ac:dyDescent="0.35">
      <c r="A24" s="40" t="s">
        <v>288</v>
      </c>
      <c r="B24" s="254"/>
      <c r="C24" s="240"/>
      <c r="D24" s="255"/>
    </row>
    <row r="25" spans="1:27" x14ac:dyDescent="0.35">
      <c r="A25" s="44"/>
      <c r="B25" s="45"/>
      <c r="C25" s="45"/>
      <c r="D25" s="46"/>
    </row>
    <row r="27" spans="1:27" x14ac:dyDescent="0.35">
      <c r="A27" s="30" t="s">
        <v>289</v>
      </c>
      <c r="B27" s="145"/>
      <c r="C27" s="52"/>
      <c r="D27" s="52"/>
      <c r="E27" s="52"/>
      <c r="F27" s="52"/>
      <c r="G27" s="52"/>
      <c r="H27" s="52">
        <f t="shared" ref="H27:AA27" si="2">H4</f>
        <v>2018</v>
      </c>
      <c r="I27" s="52">
        <f t="shared" si="2"/>
        <v>2019</v>
      </c>
      <c r="J27" s="52">
        <f t="shared" si="2"/>
        <v>2020</v>
      </c>
      <c r="K27" s="52">
        <f t="shared" si="2"/>
        <v>2021</v>
      </c>
      <c r="L27" s="52">
        <f t="shared" si="2"/>
        <v>2022</v>
      </c>
      <c r="M27" s="52">
        <f t="shared" si="2"/>
        <v>2023</v>
      </c>
      <c r="N27" s="52">
        <f t="shared" si="2"/>
        <v>2024</v>
      </c>
      <c r="O27" s="52">
        <f t="shared" si="2"/>
        <v>2025</v>
      </c>
      <c r="P27" s="52">
        <f t="shared" si="2"/>
        <v>2026</v>
      </c>
      <c r="Q27" s="52">
        <f t="shared" si="2"/>
        <v>2027</v>
      </c>
      <c r="R27" s="52">
        <f t="shared" si="2"/>
        <v>2028</v>
      </c>
      <c r="S27" s="52">
        <f t="shared" si="2"/>
        <v>2029</v>
      </c>
      <c r="T27" s="52">
        <f t="shared" si="2"/>
        <v>2030</v>
      </c>
      <c r="U27" s="52">
        <f t="shared" si="2"/>
        <v>2031</v>
      </c>
      <c r="V27" s="52">
        <f t="shared" si="2"/>
        <v>2032</v>
      </c>
      <c r="W27" s="52">
        <f t="shared" si="2"/>
        <v>2033</v>
      </c>
      <c r="X27" s="52">
        <f t="shared" si="2"/>
        <v>2034</v>
      </c>
      <c r="Y27" s="52">
        <f t="shared" si="2"/>
        <v>2035</v>
      </c>
      <c r="Z27" s="52">
        <f t="shared" si="2"/>
        <v>2036</v>
      </c>
      <c r="AA27" s="52">
        <f t="shared" si="2"/>
        <v>2037</v>
      </c>
    </row>
    <row r="28" spans="1:27" x14ac:dyDescent="0.35">
      <c r="A28" s="250" t="s">
        <v>290</v>
      </c>
      <c r="B28" s="184" t="str" cm="1">
        <f t="array" ref="B28:B30">currency_scenario</f>
        <v>Low scenario</v>
      </c>
      <c r="C28" s="112"/>
      <c r="D28" s="112"/>
      <c r="E28" s="112"/>
      <c r="F28" s="112"/>
      <c r="G28" s="112"/>
      <c r="H28" s="112">
        <v>13.246775199999993</v>
      </c>
      <c r="I28" s="112">
        <v>14.451177510040162</v>
      </c>
      <c r="J28" s="112">
        <v>16.441369841269843</v>
      </c>
      <c r="K28" s="112">
        <v>14.783901599999995</v>
      </c>
      <c r="L28" s="112">
        <v>16.381369199999995</v>
      </c>
      <c r="M28" s="3">
        <f t="shared" ref="M28:AA28" si="3">M29/1.15</f>
        <v>16.041304347826088</v>
      </c>
      <c r="N28" s="3">
        <f t="shared" si="3"/>
        <v>15.434782608695654</v>
      </c>
      <c r="O28" s="3">
        <f t="shared" si="3"/>
        <v>15.043478260869566</v>
      </c>
      <c r="P28" s="3">
        <f t="shared" si="3"/>
        <v>15.62825682233842</v>
      </c>
      <c r="Q28" s="3">
        <f t="shared" si="3"/>
        <v>16.23576722547471</v>
      </c>
      <c r="R28" s="3">
        <f t="shared" si="3"/>
        <v>16.86689311523336</v>
      </c>
      <c r="S28" s="3">
        <f t="shared" si="3"/>
        <v>17.522552486113785</v>
      </c>
      <c r="T28" s="3">
        <f t="shared" si="3"/>
        <v>18.203699017414703</v>
      </c>
      <c r="U28" s="3">
        <f t="shared" si="3"/>
        <v>18.55751123890424</v>
      </c>
      <c r="V28" s="3">
        <f t="shared" si="3"/>
        <v>18.91820025438799</v>
      </c>
      <c r="W28" s="3">
        <f t="shared" si="3"/>
        <v>19.285899723170985</v>
      </c>
      <c r="X28" s="3">
        <f t="shared" si="3"/>
        <v>19.660745902398176</v>
      </c>
      <c r="Y28" s="3">
        <f t="shared" si="3"/>
        <v>20.042877697546739</v>
      </c>
      <c r="Z28" s="3">
        <f t="shared" si="3"/>
        <v>20.042877697546739</v>
      </c>
      <c r="AA28" s="3">
        <f t="shared" si="3"/>
        <v>20.042877697546739</v>
      </c>
    </row>
    <row r="29" spans="1:27" x14ac:dyDescent="0.35">
      <c r="A29" s="250"/>
      <c r="B29" s="184" t="str">
        <v>Base scenario</v>
      </c>
      <c r="C29" s="112"/>
      <c r="D29" s="112"/>
      <c r="E29" s="112"/>
      <c r="F29" s="112"/>
      <c r="G29" s="112"/>
      <c r="H29" s="112">
        <v>13.246775199999993</v>
      </c>
      <c r="I29" s="112">
        <v>14.451177510040162</v>
      </c>
      <c r="J29" s="112">
        <v>16.441369841269843</v>
      </c>
      <c r="K29" s="112">
        <v>14.783901599999995</v>
      </c>
      <c r="L29" s="112">
        <v>16.381369199999995</v>
      </c>
      <c r="M29" s="3">
        <f>B55</f>
        <v>18.447499999999998</v>
      </c>
      <c r="N29" s="112">
        <f>F55</f>
        <v>17.75</v>
      </c>
      <c r="O29" s="112">
        <f>J55</f>
        <v>17.3</v>
      </c>
      <c r="P29" s="112">
        <f>O29*(1+$C$43)</f>
        <v>17.972495345689182</v>
      </c>
      <c r="Q29" s="112">
        <f>P29*(1+$C$43)</f>
        <v>18.671132309295913</v>
      </c>
      <c r="R29" s="112">
        <f>Q29*(1+$C$43)</f>
        <v>19.396927082518364</v>
      </c>
      <c r="S29" s="112">
        <f>R29*(1+$C$43)</f>
        <v>20.15093535903085</v>
      </c>
      <c r="T29" s="112">
        <f>S29*(1+$C$43)</f>
        <v>20.934253870026907</v>
      </c>
      <c r="U29" s="112">
        <f>T29*(1+$C$44)</f>
        <v>21.341137924739876</v>
      </c>
      <c r="V29" s="112">
        <f>U29*(1+$C$44)</f>
        <v>21.755930292546186</v>
      </c>
      <c r="W29" s="112">
        <f>V29*(1+$C$44)</f>
        <v>22.178784681646633</v>
      </c>
      <c r="X29" s="112">
        <f>W29*(1+$C$44)</f>
        <v>22.6098577877579</v>
      </c>
      <c r="Y29" s="112">
        <f>X29*(1+$C$44)</f>
        <v>23.049309352178749</v>
      </c>
      <c r="Z29" s="112">
        <f t="shared" ref="Z29:AA29" si="4">Y29</f>
        <v>23.049309352178749</v>
      </c>
      <c r="AA29" s="112">
        <f t="shared" si="4"/>
        <v>23.049309352178749</v>
      </c>
    </row>
    <row r="30" spans="1:27" x14ac:dyDescent="0.35">
      <c r="A30" s="250"/>
      <c r="B30" s="184" t="str">
        <v>High scenario</v>
      </c>
      <c r="C30" s="112"/>
      <c r="D30" s="112"/>
      <c r="E30" s="112"/>
      <c r="F30" s="112"/>
      <c r="G30" s="112"/>
      <c r="H30" s="112">
        <v>13.246775199999993</v>
      </c>
      <c r="I30" s="112">
        <v>14.451177510040162</v>
      </c>
      <c r="J30" s="112">
        <v>16.441369841269843</v>
      </c>
      <c r="K30" s="112">
        <v>14.783901599999995</v>
      </c>
      <c r="L30" s="112">
        <v>16.381369199999995</v>
      </c>
      <c r="M30" s="3">
        <f t="shared" ref="M30" si="5">M29*1.3</f>
        <v>23.981749999999998</v>
      </c>
      <c r="N30" s="3">
        <f t="shared" ref="N30" si="6">N29*1.3</f>
        <v>23.074999999999999</v>
      </c>
      <c r="O30" s="3">
        <f t="shared" ref="O30" si="7">O29*1.3</f>
        <v>22.490000000000002</v>
      </c>
      <c r="P30" s="3">
        <f t="shared" ref="P30" si="8">P29*1.3</f>
        <v>23.364243949395938</v>
      </c>
      <c r="Q30" s="3">
        <f t="shared" ref="Q30" si="9">Q29*1.3</f>
        <v>24.272472002084687</v>
      </c>
      <c r="R30" s="3">
        <f t="shared" ref="R30" si="10">R29*1.3</f>
        <v>25.216005207273874</v>
      </c>
      <c r="S30" s="3">
        <f t="shared" ref="S30" si="11">S29*1.3</f>
        <v>26.196215966740105</v>
      </c>
      <c r="T30" s="3">
        <f t="shared" ref="T30" si="12">T29*1.3</f>
        <v>27.214530031034979</v>
      </c>
      <c r="U30" s="3">
        <f t="shared" ref="U30" si="13">U29*1.3</f>
        <v>27.743479302161838</v>
      </c>
      <c r="V30" s="3">
        <f t="shared" ref="V30" si="14">V29*1.3</f>
        <v>28.282709380310042</v>
      </c>
      <c r="W30" s="3">
        <f t="shared" ref="W30" si="15">W29*1.3</f>
        <v>28.832420086140623</v>
      </c>
      <c r="X30" s="3">
        <f t="shared" ref="X30" si="16">X29*1.3</f>
        <v>29.392815124085271</v>
      </c>
      <c r="Y30" s="3">
        <f t="shared" ref="Y30" si="17">Y29*1.3</f>
        <v>29.964102157832375</v>
      </c>
      <c r="Z30" s="3">
        <f t="shared" ref="Z30" si="18">Z29*1.3</f>
        <v>29.964102157832375</v>
      </c>
      <c r="AA30" s="3">
        <f t="shared" ref="AA30" si="19">AA29*1.3</f>
        <v>29.964102157832375</v>
      </c>
    </row>
    <row r="31" spans="1:27" x14ac:dyDescent="0.35">
      <c r="A31" s="202"/>
      <c r="B31" s="82"/>
      <c r="C31" s="77"/>
      <c r="D31" s="77"/>
      <c r="E31" s="77"/>
      <c r="F31" s="77"/>
      <c r="G31" s="77"/>
      <c r="H31" s="77"/>
      <c r="I31" s="77"/>
      <c r="J31" s="77"/>
      <c r="K31" s="77"/>
      <c r="L31" s="77"/>
      <c r="M31" s="77"/>
      <c r="N31" s="77"/>
      <c r="O31" s="77"/>
      <c r="P31" s="77"/>
      <c r="Q31" s="77"/>
      <c r="R31" s="77"/>
      <c r="S31" s="77"/>
      <c r="T31" s="77"/>
      <c r="U31" s="77"/>
      <c r="V31" s="77"/>
      <c r="W31" s="77"/>
      <c r="X31" s="77"/>
      <c r="Y31" s="77"/>
      <c r="Z31" s="77"/>
      <c r="AA31" s="77"/>
    </row>
    <row r="32" spans="1:27" x14ac:dyDescent="0.35">
      <c r="A32" s="196"/>
      <c r="B32" s="186"/>
      <c r="C32" s="52"/>
      <c r="D32" s="52"/>
      <c r="E32" s="52"/>
      <c r="F32" s="52"/>
      <c r="G32" s="52"/>
      <c r="H32" s="52">
        <f t="shared" ref="H32:AA32" si="20">H27</f>
        <v>2018</v>
      </c>
      <c r="I32" s="52">
        <f t="shared" si="20"/>
        <v>2019</v>
      </c>
      <c r="J32" s="52">
        <f t="shared" si="20"/>
        <v>2020</v>
      </c>
      <c r="K32" s="52">
        <f t="shared" si="20"/>
        <v>2021</v>
      </c>
      <c r="L32" s="52">
        <f t="shared" si="20"/>
        <v>2022</v>
      </c>
      <c r="M32" s="52">
        <f t="shared" si="20"/>
        <v>2023</v>
      </c>
      <c r="N32" s="52">
        <f t="shared" si="20"/>
        <v>2024</v>
      </c>
      <c r="O32" s="52">
        <f t="shared" si="20"/>
        <v>2025</v>
      </c>
      <c r="P32" s="52">
        <f t="shared" si="20"/>
        <v>2026</v>
      </c>
      <c r="Q32" s="52">
        <f t="shared" si="20"/>
        <v>2027</v>
      </c>
      <c r="R32" s="52">
        <f t="shared" si="20"/>
        <v>2028</v>
      </c>
      <c r="S32" s="52">
        <f t="shared" si="20"/>
        <v>2029</v>
      </c>
      <c r="T32" s="52">
        <f t="shared" si="20"/>
        <v>2030</v>
      </c>
      <c r="U32" s="52">
        <f t="shared" si="20"/>
        <v>2031</v>
      </c>
      <c r="V32" s="52">
        <f t="shared" si="20"/>
        <v>2032</v>
      </c>
      <c r="W32" s="52">
        <f t="shared" si="20"/>
        <v>2033</v>
      </c>
      <c r="X32" s="52">
        <f t="shared" si="20"/>
        <v>2034</v>
      </c>
      <c r="Y32" s="52">
        <f t="shared" si="20"/>
        <v>2035</v>
      </c>
      <c r="Z32" s="52">
        <f t="shared" si="20"/>
        <v>2036</v>
      </c>
      <c r="AA32" s="52">
        <f t="shared" si="20"/>
        <v>2037</v>
      </c>
    </row>
    <row r="33" spans="1:27" x14ac:dyDescent="0.35">
      <c r="A33" s="251" t="s">
        <v>291</v>
      </c>
      <c r="B33" s="184" t="str" cm="1">
        <f t="array" ref="B33:B35">currency_scenario</f>
        <v>Low scenario</v>
      </c>
      <c r="C33" s="112"/>
      <c r="D33" s="112"/>
      <c r="E33" s="112"/>
      <c r="F33" s="112"/>
      <c r="G33" s="112"/>
      <c r="H33" s="112">
        <v>17.641773199999999</v>
      </c>
      <c r="I33" s="112">
        <v>18.430149397590366</v>
      </c>
      <c r="J33" s="112">
        <v>21.072238492063484</v>
      </c>
      <c r="K33" s="112">
        <v>20.328223200000007</v>
      </c>
      <c r="L33" s="112">
        <v>20.179558399999998</v>
      </c>
      <c r="M33" s="3">
        <f t="shared" ref="M33:AA33" si="21">M34/1.15</f>
        <v>19.934782608695656</v>
      </c>
      <c r="N33" s="3">
        <f t="shared" si="21"/>
        <v>19.332608695652176</v>
      </c>
      <c r="O33" s="3">
        <f t="shared" si="21"/>
        <v>19.406521739130437</v>
      </c>
      <c r="P33" s="3">
        <f t="shared" si="21"/>
        <v>20.069376948616384</v>
      </c>
      <c r="Q33" s="3">
        <f t="shared" si="21"/>
        <v>20.754872847384473</v>
      </c>
      <c r="R33" s="3">
        <f t="shared" si="21"/>
        <v>21.463782757879528</v>
      </c>
      <c r="S33" s="3">
        <f t="shared" si="21"/>
        <v>22.196906416389012</v>
      </c>
      <c r="T33" s="3">
        <f t="shared" si="21"/>
        <v>22.955070875242466</v>
      </c>
      <c r="U33" s="3">
        <f t="shared" si="21"/>
        <v>23.34710115553461</v>
      </c>
      <c r="V33" s="3">
        <f t="shared" si="21"/>
        <v>23.745826590091408</v>
      </c>
      <c r="W33" s="3">
        <f t="shared" si="21"/>
        <v>24.151361519801522</v>
      </c>
      <c r="X33" s="3">
        <f t="shared" si="21"/>
        <v>24.56382223828513</v>
      </c>
      <c r="Y33" s="3">
        <f t="shared" si="21"/>
        <v>24.983327025242996</v>
      </c>
      <c r="Z33" s="3">
        <f t="shared" si="21"/>
        <v>24.983327025242996</v>
      </c>
      <c r="AA33" s="3">
        <f t="shared" si="21"/>
        <v>24.983327025242996</v>
      </c>
    </row>
    <row r="34" spans="1:27" x14ac:dyDescent="0.35">
      <c r="A34" s="252"/>
      <c r="B34" s="184" t="str">
        <v>Base scenario</v>
      </c>
      <c r="C34" s="112"/>
      <c r="D34" s="112"/>
      <c r="E34" s="112"/>
      <c r="F34" s="112"/>
      <c r="G34" s="112"/>
      <c r="H34" s="112">
        <v>17.641773199999999</v>
      </c>
      <c r="I34" s="112">
        <v>18.430149397590366</v>
      </c>
      <c r="J34" s="112">
        <v>21.072238492063484</v>
      </c>
      <c r="K34" s="112">
        <v>20.328223200000007</v>
      </c>
      <c r="L34" s="112">
        <v>20.179558399999998</v>
      </c>
      <c r="M34" s="112">
        <f>B57</f>
        <v>22.925000000000001</v>
      </c>
      <c r="N34" s="112">
        <f>F57</f>
        <v>22.232500000000002</v>
      </c>
      <c r="O34" s="112">
        <f>J57</f>
        <v>22.317499999999999</v>
      </c>
      <c r="P34" s="112">
        <f>O34*(1+$C$45)</f>
        <v>23.079783490908842</v>
      </c>
      <c r="Q34" s="112">
        <f>P34*(1+$C$45)</f>
        <v>23.868103774492141</v>
      </c>
      <c r="R34" s="112">
        <f>Q34*(1+$C$45)</f>
        <v>24.683350171561454</v>
      </c>
      <c r="S34" s="112">
        <f>R34*(1+$C$45)</f>
        <v>25.526442378847364</v>
      </c>
      <c r="T34" s="112">
        <f>S34*(1+$C$45)</f>
        <v>26.398331506528834</v>
      </c>
      <c r="U34" s="112">
        <f>T34*(1+$C$46)</f>
        <v>26.849166328864797</v>
      </c>
      <c r="V34" s="112">
        <f>U34*(1+$C$46)</f>
        <v>27.307700578605118</v>
      </c>
      <c r="W34" s="112">
        <f>V34*(1+$C$46)</f>
        <v>27.774065747771751</v>
      </c>
      <c r="X34" s="112">
        <f>W34*(1+$C$46)</f>
        <v>28.248395574027899</v>
      </c>
      <c r="Y34" s="112">
        <f>X34*(1+$C$46)</f>
        <v>28.730826079029445</v>
      </c>
      <c r="Z34" s="112">
        <f t="shared" ref="Z34:AA34" si="22">Y34</f>
        <v>28.730826079029445</v>
      </c>
      <c r="AA34" s="112">
        <f t="shared" si="22"/>
        <v>28.730826079029445</v>
      </c>
    </row>
    <row r="35" spans="1:27" x14ac:dyDescent="0.35">
      <c r="A35" s="253"/>
      <c r="B35" s="184" t="str">
        <v>High scenario</v>
      </c>
      <c r="C35" s="112"/>
      <c r="D35" s="112"/>
      <c r="E35" s="112"/>
      <c r="F35" s="112"/>
      <c r="G35" s="112"/>
      <c r="H35" s="112">
        <v>17.641773199999999</v>
      </c>
      <c r="I35" s="112">
        <v>18.430149397590366</v>
      </c>
      <c r="J35" s="112">
        <v>21.072238492063484</v>
      </c>
      <c r="K35" s="112">
        <v>20.328223200000007</v>
      </c>
      <c r="L35" s="112">
        <v>20.179558399999998</v>
      </c>
      <c r="M35" s="3">
        <f t="shared" ref="M35" si="23">M34*1.3</f>
        <v>29.802500000000002</v>
      </c>
      <c r="N35" s="3">
        <f t="shared" ref="N35" si="24">N34*1.3</f>
        <v>28.902250000000002</v>
      </c>
      <c r="O35" s="3">
        <f t="shared" ref="O35" si="25">O34*1.3</f>
        <v>29.01275</v>
      </c>
      <c r="P35" s="3">
        <f t="shared" ref="P35" si="26">P34*1.3</f>
        <v>30.003718538181495</v>
      </c>
      <c r="Q35" s="3">
        <f t="shared" ref="Q35" si="27">Q34*1.3</f>
        <v>31.028534906839784</v>
      </c>
      <c r="R35" s="3">
        <f t="shared" ref="R35" si="28">R34*1.3</f>
        <v>32.088355223029893</v>
      </c>
      <c r="S35" s="3">
        <f t="shared" ref="S35" si="29">S34*1.3</f>
        <v>33.184375092501575</v>
      </c>
      <c r="T35" s="3">
        <f t="shared" ref="T35" si="30">T34*1.3</f>
        <v>34.317830958487484</v>
      </c>
      <c r="U35" s="3">
        <f t="shared" ref="U35" si="31">U34*1.3</f>
        <v>34.903916227524235</v>
      </c>
      <c r="V35" s="3">
        <f t="shared" ref="V35" si="32">V34*1.3</f>
        <v>35.500010752186654</v>
      </c>
      <c r="W35" s="3">
        <f t="shared" ref="W35" si="33">W34*1.3</f>
        <v>36.106285472103274</v>
      </c>
      <c r="X35" s="3">
        <f t="shared" ref="X35" si="34">X34*1.3</f>
        <v>36.722914246236272</v>
      </c>
      <c r="Y35" s="3">
        <f t="shared" ref="Y35" si="35">Y34*1.3</f>
        <v>37.350073902738281</v>
      </c>
      <c r="Z35" s="3">
        <f t="shared" ref="Z35" si="36">Z34*1.3</f>
        <v>37.350073902738281</v>
      </c>
      <c r="AA35" s="3">
        <f t="shared" ref="AA35" si="37">AA34*1.3</f>
        <v>37.350073902738281</v>
      </c>
    </row>
    <row r="36" spans="1:27" x14ac:dyDescent="0.35">
      <c r="A36" s="201"/>
      <c r="B36" s="184"/>
      <c r="C36" s="112"/>
      <c r="D36" s="112"/>
      <c r="E36" s="112"/>
      <c r="F36" s="112"/>
      <c r="G36" s="112"/>
      <c r="H36" s="112"/>
      <c r="I36" s="112"/>
      <c r="J36" s="112"/>
      <c r="K36" s="112"/>
      <c r="L36" s="112"/>
      <c r="M36" s="3"/>
      <c r="N36" s="3"/>
      <c r="O36" s="3"/>
      <c r="P36" s="3"/>
      <c r="Q36" s="3"/>
      <c r="R36" s="3"/>
      <c r="S36" s="3"/>
      <c r="T36" s="3"/>
      <c r="U36" s="3"/>
      <c r="V36" s="3"/>
      <c r="W36" s="3"/>
      <c r="X36" s="3"/>
      <c r="Y36" s="3"/>
      <c r="Z36" s="3"/>
      <c r="AA36" s="3"/>
    </row>
    <row r="37" spans="1:27" x14ac:dyDescent="0.35">
      <c r="A37" s="201"/>
      <c r="B37" s="184"/>
      <c r="C37" s="112"/>
      <c r="D37" s="112"/>
      <c r="E37" s="112"/>
      <c r="F37" s="112"/>
      <c r="G37" s="112"/>
      <c r="H37" s="112"/>
      <c r="I37" s="112"/>
      <c r="J37" s="112"/>
      <c r="K37" s="112"/>
      <c r="L37" s="112"/>
      <c r="M37" s="3"/>
      <c r="N37" s="3"/>
      <c r="O37" s="3"/>
      <c r="P37" s="3"/>
      <c r="Q37" s="3"/>
      <c r="R37" s="3"/>
      <c r="S37" s="3"/>
      <c r="T37" s="3"/>
      <c r="U37" s="3"/>
      <c r="V37" s="3"/>
      <c r="W37" s="3"/>
      <c r="X37" s="3"/>
      <c r="Y37" s="3"/>
      <c r="Z37" s="3"/>
      <c r="AA37" s="3"/>
    </row>
    <row r="38" spans="1:27" x14ac:dyDescent="0.35">
      <c r="A38" s="185"/>
      <c r="B38" s="186"/>
      <c r="C38" s="52"/>
      <c r="D38" s="52"/>
      <c r="E38" s="52"/>
      <c r="F38" s="52"/>
      <c r="G38" s="52"/>
      <c r="H38" s="52">
        <f t="shared" ref="H38:AA38" si="38">H27</f>
        <v>2018</v>
      </c>
      <c r="I38" s="52">
        <f t="shared" si="38"/>
        <v>2019</v>
      </c>
      <c r="J38" s="52">
        <f t="shared" si="38"/>
        <v>2020</v>
      </c>
      <c r="K38" s="52">
        <f t="shared" si="38"/>
        <v>2021</v>
      </c>
      <c r="L38" s="52">
        <f t="shared" si="38"/>
        <v>2022</v>
      </c>
      <c r="M38" s="52">
        <f t="shared" si="38"/>
        <v>2023</v>
      </c>
      <c r="N38" s="52">
        <f t="shared" si="38"/>
        <v>2024</v>
      </c>
      <c r="O38" s="52">
        <f t="shared" si="38"/>
        <v>2025</v>
      </c>
      <c r="P38" s="52">
        <f t="shared" si="38"/>
        <v>2026</v>
      </c>
      <c r="Q38" s="52">
        <f t="shared" si="38"/>
        <v>2027</v>
      </c>
      <c r="R38" s="52">
        <f t="shared" si="38"/>
        <v>2028</v>
      </c>
      <c r="S38" s="52">
        <f t="shared" si="38"/>
        <v>2029</v>
      </c>
      <c r="T38" s="52">
        <f t="shared" si="38"/>
        <v>2030</v>
      </c>
      <c r="U38" s="52">
        <f t="shared" si="38"/>
        <v>2031</v>
      </c>
      <c r="V38" s="52">
        <f t="shared" si="38"/>
        <v>2032</v>
      </c>
      <c r="W38" s="52">
        <f t="shared" si="38"/>
        <v>2033</v>
      </c>
      <c r="X38" s="52">
        <f t="shared" si="38"/>
        <v>2034</v>
      </c>
      <c r="Y38" s="52">
        <f t="shared" si="38"/>
        <v>2035</v>
      </c>
      <c r="Z38" s="52">
        <f t="shared" si="38"/>
        <v>2036</v>
      </c>
      <c r="AA38" s="52">
        <f t="shared" si="38"/>
        <v>2037</v>
      </c>
    </row>
    <row r="39" spans="1:27" x14ac:dyDescent="0.35">
      <c r="A39" s="251" t="s">
        <v>292</v>
      </c>
      <c r="B39" s="184" t="str" cm="1">
        <f t="array" ref="B39:B41">currency_scenario</f>
        <v>Low scenario</v>
      </c>
      <c r="C39" s="112"/>
      <c r="D39" s="112"/>
      <c r="E39" s="112"/>
      <c r="F39" s="112"/>
      <c r="G39" s="112"/>
      <c r="H39" s="112">
        <v>15.610738</v>
      </c>
      <c r="I39" s="112">
        <v>16.17564016064258</v>
      </c>
      <c r="J39" s="112">
        <v>18.757049999999992</v>
      </c>
      <c r="K39" s="112">
        <v>17.480877599999989</v>
      </c>
      <c r="L39" s="112">
        <v>17.2063676</v>
      </c>
      <c r="M39" s="3">
        <f t="shared" ref="M39:AA39" si="39">M40/1.15</f>
        <v>17.32826086956522</v>
      </c>
      <c r="N39" s="3">
        <f t="shared" si="39"/>
        <v>16.843478260869567</v>
      </c>
      <c r="O39" s="3">
        <f t="shared" si="39"/>
        <v>17.376086956521743</v>
      </c>
      <c r="P39" s="3">
        <f t="shared" si="39"/>
        <v>17.999897686873773</v>
      </c>
      <c r="Q39" s="3">
        <f t="shared" si="39"/>
        <v>18.646103553039527</v>
      </c>
      <c r="R39" s="3">
        <f t="shared" si="39"/>
        <v>19.315508552263218</v>
      </c>
      <c r="S39" s="3">
        <f t="shared" si="39"/>
        <v>20.008945545716209</v>
      </c>
      <c r="T39" s="3">
        <f t="shared" si="39"/>
        <v>20.727277294727312</v>
      </c>
      <c r="U39" s="3">
        <f t="shared" si="39"/>
        <v>21.099337414470781</v>
      </c>
      <c r="V39" s="3">
        <f t="shared" si="39"/>
        <v>21.478076111951943</v>
      </c>
      <c r="W39" s="3">
        <f t="shared" si="39"/>
        <v>21.863613269410873</v>
      </c>
      <c r="X39" s="3">
        <f t="shared" si="39"/>
        <v>22.256070921005627</v>
      </c>
      <c r="Y39" s="3">
        <f t="shared" si="39"/>
        <v>22.65557329143973</v>
      </c>
      <c r="Z39" s="3">
        <f t="shared" si="39"/>
        <v>22.65557329143973</v>
      </c>
      <c r="AA39" s="3">
        <f t="shared" si="39"/>
        <v>22.65557329143973</v>
      </c>
    </row>
    <row r="40" spans="1:27" x14ac:dyDescent="0.35">
      <c r="A40" s="252"/>
      <c r="B40" s="184" t="str">
        <v>Base scenario</v>
      </c>
      <c r="C40" s="112"/>
      <c r="D40" s="112"/>
      <c r="E40" s="112"/>
      <c r="F40" s="112"/>
      <c r="G40" s="112"/>
      <c r="H40" s="112">
        <v>15.610738</v>
      </c>
      <c r="I40" s="112">
        <v>16.17564016064258</v>
      </c>
      <c r="J40" s="112">
        <v>18.757049999999992</v>
      </c>
      <c r="K40" s="112">
        <v>17.480877599999989</v>
      </c>
      <c r="L40" s="112">
        <v>17.2063676</v>
      </c>
      <c r="M40" s="112">
        <f>B59</f>
        <v>19.927500000000002</v>
      </c>
      <c r="N40" s="112">
        <f>F59</f>
        <v>19.37</v>
      </c>
      <c r="O40" s="112">
        <f>J59</f>
        <v>19.982500000000002</v>
      </c>
      <c r="P40" s="112">
        <f>O40*(1+$C$47)</f>
        <v>20.699882339904839</v>
      </c>
      <c r="Q40" s="112">
        <f>P40*(1+$C$47)</f>
        <v>21.443019085995456</v>
      </c>
      <c r="R40" s="112">
        <f>Q40*(1+$C$47)</f>
        <v>22.212834835102697</v>
      </c>
      <c r="S40" s="112">
        <f>R40*(1+$C$47)</f>
        <v>23.01028737757364</v>
      </c>
      <c r="T40" s="112">
        <f>S40*(1+$C$47)</f>
        <v>23.836368888936406</v>
      </c>
      <c r="U40" s="112">
        <f>T40*(1+$C$48)</f>
        <v>24.264238026641397</v>
      </c>
      <c r="V40" s="112">
        <f>U40*(1+$C$48)</f>
        <v>24.699787528744732</v>
      </c>
      <c r="W40" s="112">
        <f>V40*(1+$C$48)</f>
        <v>25.143155259822503</v>
      </c>
      <c r="X40" s="112">
        <f>W40*(1+$C$48)</f>
        <v>25.59448155915647</v>
      </c>
      <c r="Y40" s="112">
        <f>X40*(1+$C$48)</f>
        <v>26.053909285155687</v>
      </c>
      <c r="Z40" s="112">
        <f t="shared" ref="Z40:AA40" si="40">Y40</f>
        <v>26.053909285155687</v>
      </c>
      <c r="AA40" s="112">
        <f t="shared" si="40"/>
        <v>26.053909285155687</v>
      </c>
    </row>
    <row r="41" spans="1:27" x14ac:dyDescent="0.35">
      <c r="A41" s="253"/>
      <c r="B41" s="184" t="str">
        <v>High scenario</v>
      </c>
      <c r="C41" s="112"/>
      <c r="D41" s="112"/>
      <c r="E41" s="112"/>
      <c r="F41" s="112"/>
      <c r="G41" s="112"/>
      <c r="H41" s="112">
        <v>15.610738</v>
      </c>
      <c r="I41" s="112">
        <v>16.17564016064258</v>
      </c>
      <c r="J41" s="112">
        <v>18.757049999999992</v>
      </c>
      <c r="K41" s="112">
        <v>17.480877599999989</v>
      </c>
      <c r="L41" s="112">
        <v>17.2063676</v>
      </c>
      <c r="M41" s="3">
        <f t="shared" ref="M41" si="41">M40*1.3</f>
        <v>25.905750000000005</v>
      </c>
      <c r="N41" s="3">
        <f t="shared" ref="N41" si="42">N40*1.3</f>
        <v>25.181000000000001</v>
      </c>
      <c r="O41" s="3">
        <f t="shared" ref="O41" si="43">O40*1.3</f>
        <v>25.977250000000002</v>
      </c>
      <c r="P41" s="3">
        <f t="shared" ref="P41" si="44">P40*1.3</f>
        <v>26.90984704187629</v>
      </c>
      <c r="Q41" s="3">
        <f t="shared" ref="Q41" si="45">Q40*1.3</f>
        <v>27.875924811794093</v>
      </c>
      <c r="R41" s="3">
        <f t="shared" ref="R41" si="46">R40*1.3</f>
        <v>28.876685285633506</v>
      </c>
      <c r="S41" s="3">
        <f t="shared" ref="S41" si="47">S40*1.3</f>
        <v>29.913373590845733</v>
      </c>
      <c r="T41" s="3">
        <f t="shared" ref="T41" si="48">T40*1.3</f>
        <v>30.987279555617327</v>
      </c>
      <c r="U41" s="3">
        <f t="shared" ref="U41" si="49">U40*1.3</f>
        <v>31.543509434633819</v>
      </c>
      <c r="V41" s="3">
        <f t="shared" ref="V41" si="50">V40*1.3</f>
        <v>32.109723787368154</v>
      </c>
      <c r="W41" s="3">
        <f t="shared" ref="W41" si="51">W40*1.3</f>
        <v>32.686101837769257</v>
      </c>
      <c r="X41" s="3">
        <f t="shared" ref="X41" si="52">X40*1.3</f>
        <v>33.27282602690341</v>
      </c>
      <c r="Y41" s="3">
        <f t="shared" ref="Y41" si="53">Y40*1.3</f>
        <v>33.870082070702395</v>
      </c>
      <c r="Z41" s="3">
        <f t="shared" ref="Z41" si="54">Z40*1.3</f>
        <v>33.870082070702395</v>
      </c>
      <c r="AA41" s="3">
        <f t="shared" ref="AA41" si="55">AA40*1.3</f>
        <v>33.870082070702395</v>
      </c>
    </row>
    <row r="42" spans="1:27" x14ac:dyDescent="0.35">
      <c r="A42" s="37"/>
      <c r="B42" s="82"/>
      <c r="C42" s="77"/>
      <c r="D42" s="77"/>
      <c r="E42" s="77"/>
      <c r="F42" s="77"/>
      <c r="G42" s="77"/>
      <c r="H42" s="77"/>
      <c r="I42" s="77"/>
      <c r="J42" s="77"/>
      <c r="K42" s="77"/>
      <c r="L42" s="77"/>
      <c r="M42" s="77"/>
      <c r="N42" s="77"/>
      <c r="O42" s="77"/>
      <c r="P42" s="77"/>
      <c r="Q42" s="77"/>
      <c r="R42" s="77"/>
      <c r="S42" s="77"/>
      <c r="T42" s="77"/>
      <c r="U42" s="77"/>
      <c r="V42" s="77"/>
      <c r="W42" s="77"/>
      <c r="X42" s="77"/>
      <c r="Y42" s="77"/>
      <c r="Z42" s="77"/>
      <c r="AA42" s="77"/>
    </row>
    <row r="43" spans="1:27" x14ac:dyDescent="0.35">
      <c r="A43" s="259" t="s">
        <v>293</v>
      </c>
      <c r="B43" s="104" t="s">
        <v>294</v>
      </c>
      <c r="C43" s="107">
        <f>((O29/H29)^(1/7)-1)</f>
        <v>3.8872563334634735E-2</v>
      </c>
      <c r="D43" s="77"/>
      <c r="E43" s="77"/>
      <c r="F43" s="77"/>
      <c r="G43" s="77"/>
      <c r="H43" s="77"/>
      <c r="I43" s="77"/>
      <c r="J43" s="77"/>
      <c r="K43" s="77"/>
      <c r="L43" s="77"/>
      <c r="M43" s="77"/>
      <c r="N43" s="77"/>
      <c r="O43" s="77"/>
      <c r="P43" s="77"/>
      <c r="Q43" s="77"/>
      <c r="R43" s="18"/>
    </row>
    <row r="44" spans="1:27" x14ac:dyDescent="0.35">
      <c r="A44" s="260"/>
      <c r="B44" s="105" t="s">
        <v>295</v>
      </c>
      <c r="C44" s="108">
        <f>C43/2</f>
        <v>1.9436281667317368E-2</v>
      </c>
      <c r="D44" s="77"/>
      <c r="E44" s="77"/>
      <c r="F44" s="77"/>
      <c r="G44" s="77"/>
      <c r="H44" s="77"/>
      <c r="I44" s="77"/>
      <c r="J44" s="77"/>
      <c r="K44" s="77"/>
      <c r="L44" s="77"/>
      <c r="M44" s="77"/>
      <c r="N44" s="77"/>
      <c r="O44" s="77"/>
      <c r="P44" s="77"/>
      <c r="Q44" s="77"/>
      <c r="R44" s="18"/>
    </row>
    <row r="45" spans="1:27" x14ac:dyDescent="0.35">
      <c r="A45" s="259" t="s">
        <v>296</v>
      </c>
      <c r="B45" s="104" t="s">
        <v>294</v>
      </c>
      <c r="C45" s="107">
        <f>((O34/H34)^(1/7)-1)</f>
        <v>3.4156311903611236E-2</v>
      </c>
      <c r="D45" s="77"/>
      <c r="E45" s="77"/>
      <c r="F45" s="77"/>
      <c r="G45" s="77"/>
      <c r="H45" s="77"/>
      <c r="I45" s="77"/>
      <c r="J45" s="77"/>
      <c r="K45" s="77"/>
      <c r="L45" s="77"/>
      <c r="M45" s="77"/>
      <c r="N45" s="77"/>
      <c r="O45" s="77"/>
      <c r="P45" s="77"/>
      <c r="Q45" s="77"/>
      <c r="R45" s="18"/>
    </row>
    <row r="46" spans="1:27" x14ac:dyDescent="0.35">
      <c r="A46" s="261"/>
      <c r="B46" s="82" t="s">
        <v>295</v>
      </c>
      <c r="C46" s="106">
        <f>C45/2</f>
        <v>1.7078155951805618E-2</v>
      </c>
      <c r="D46" s="77"/>
      <c r="E46" s="77"/>
      <c r="F46" s="77"/>
      <c r="G46" s="77"/>
      <c r="H46" s="77"/>
      <c r="I46" s="77"/>
      <c r="J46" s="77"/>
      <c r="K46" s="77"/>
      <c r="L46" s="77"/>
      <c r="M46" s="77"/>
      <c r="N46" s="77"/>
      <c r="O46" s="77"/>
      <c r="P46" s="77"/>
      <c r="Q46" s="77"/>
      <c r="R46" s="18"/>
    </row>
    <row r="47" spans="1:27" x14ac:dyDescent="0.35">
      <c r="A47" s="259" t="s">
        <v>297</v>
      </c>
      <c r="B47" s="104" t="s">
        <v>294</v>
      </c>
      <c r="C47" s="107">
        <f>((O40/H40)^(1/7)-1)</f>
        <v>3.5900529958955874E-2</v>
      </c>
      <c r="D47" s="77"/>
      <c r="E47" s="77"/>
      <c r="F47" s="77"/>
      <c r="G47" s="77"/>
      <c r="H47" s="77"/>
      <c r="I47" s="77"/>
      <c r="J47" s="77"/>
      <c r="K47" s="77"/>
      <c r="L47" s="77"/>
      <c r="M47" s="77"/>
      <c r="N47" s="77"/>
      <c r="O47" s="77"/>
      <c r="P47" s="77"/>
      <c r="Q47" s="77"/>
      <c r="R47" s="18"/>
    </row>
    <row r="48" spans="1:27" x14ac:dyDescent="0.35">
      <c r="A48" s="260"/>
      <c r="B48" s="105" t="s">
        <v>295</v>
      </c>
      <c r="C48" s="108">
        <f>C47/2</f>
        <v>1.7950264979477937E-2</v>
      </c>
      <c r="D48" s="77"/>
      <c r="E48" s="77"/>
      <c r="F48" s="77"/>
      <c r="G48" s="77"/>
      <c r="H48" s="77"/>
      <c r="I48" s="77"/>
      <c r="J48" s="77"/>
      <c r="K48" s="77"/>
      <c r="L48" s="77"/>
      <c r="M48" s="77"/>
      <c r="N48" s="77"/>
      <c r="O48" s="77"/>
      <c r="P48" s="77"/>
      <c r="Q48" s="77"/>
      <c r="R48" s="18"/>
    </row>
    <row r="49" spans="1:18" x14ac:dyDescent="0.35">
      <c r="A49" s="12" t="s">
        <v>298</v>
      </c>
      <c r="B49" s="82"/>
      <c r="C49" s="77"/>
      <c r="D49" s="77"/>
      <c r="E49" s="77"/>
      <c r="F49" s="77"/>
      <c r="G49" s="77"/>
      <c r="H49" s="77"/>
      <c r="I49" s="77"/>
      <c r="J49" s="77"/>
      <c r="K49" s="77"/>
      <c r="L49" s="77"/>
      <c r="M49" s="77"/>
      <c r="N49" s="77"/>
      <c r="O49" s="77"/>
      <c r="P49" s="77"/>
      <c r="Q49" s="77"/>
      <c r="R49" s="18"/>
    </row>
    <row r="50" spans="1:18" x14ac:dyDescent="0.35">
      <c r="B50" s="82"/>
      <c r="C50" s="77"/>
      <c r="D50" s="77"/>
      <c r="E50" s="77"/>
      <c r="F50" s="77"/>
      <c r="G50" s="77"/>
      <c r="H50" s="77"/>
      <c r="I50" s="77"/>
      <c r="J50" s="77"/>
      <c r="K50" s="77"/>
      <c r="L50" s="77"/>
      <c r="M50" s="77"/>
      <c r="N50" s="77"/>
      <c r="O50" s="77"/>
      <c r="P50" s="77"/>
      <c r="Q50" s="77"/>
      <c r="R50" s="18"/>
    </row>
    <row r="52" spans="1:18" x14ac:dyDescent="0.35">
      <c r="A52" s="111" t="s">
        <v>299</v>
      </c>
      <c r="B52" s="256">
        <v>2023</v>
      </c>
      <c r="C52" s="257"/>
      <c r="D52" s="257"/>
      <c r="E52" s="258"/>
      <c r="F52" s="243">
        <v>2024</v>
      </c>
      <c r="G52" s="244"/>
      <c r="H52" s="244"/>
      <c r="I52" s="245"/>
      <c r="J52" s="247">
        <v>2025</v>
      </c>
      <c r="K52" s="248"/>
      <c r="L52" s="248"/>
      <c r="M52" s="249"/>
    </row>
    <row r="53" spans="1:18" x14ac:dyDescent="0.35">
      <c r="A53" s="37"/>
      <c r="B53" s="17" t="s">
        <v>300</v>
      </c>
      <c r="C53" s="17" t="s">
        <v>301</v>
      </c>
      <c r="D53" s="17" t="s">
        <v>302</v>
      </c>
      <c r="E53" s="17" t="s">
        <v>303</v>
      </c>
      <c r="F53" s="17" t="s">
        <v>300</v>
      </c>
      <c r="G53" s="17" t="s">
        <v>301</v>
      </c>
      <c r="H53" s="17" t="s">
        <v>302</v>
      </c>
      <c r="I53" s="17" t="s">
        <v>303</v>
      </c>
      <c r="J53" s="17" t="s">
        <v>300</v>
      </c>
      <c r="K53" s="17" t="s">
        <v>301</v>
      </c>
      <c r="L53" s="17" t="s">
        <v>302</v>
      </c>
      <c r="M53" s="17" t="s">
        <v>303</v>
      </c>
    </row>
    <row r="54" spans="1:18" ht="20.9" customHeight="1" x14ac:dyDescent="0.35">
      <c r="A54" s="33" t="s">
        <v>304</v>
      </c>
      <c r="B54" s="17">
        <v>17.760000000000002</v>
      </c>
      <c r="C54" s="17">
        <v>18.68</v>
      </c>
      <c r="D54" s="17">
        <v>18.649999999999999</v>
      </c>
      <c r="E54" s="17">
        <v>18.7</v>
      </c>
      <c r="F54" s="17">
        <v>17.8</v>
      </c>
      <c r="G54" s="17">
        <v>17.7</v>
      </c>
      <c r="H54" s="17">
        <v>17.899999999999999</v>
      </c>
      <c r="I54" s="17">
        <v>17.600000000000001</v>
      </c>
      <c r="J54" s="17">
        <v>17.3</v>
      </c>
      <c r="K54" s="17">
        <v>17.3</v>
      </c>
      <c r="L54" s="17">
        <v>17.399999999999999</v>
      </c>
      <c r="M54" s="17">
        <v>17.2</v>
      </c>
    </row>
    <row r="55" spans="1:18" x14ac:dyDescent="0.35">
      <c r="A55" s="44" t="s">
        <v>305</v>
      </c>
      <c r="B55" s="241">
        <f>AVERAGE(B54:E54)</f>
        <v>18.447499999999998</v>
      </c>
      <c r="C55" s="241"/>
      <c r="D55" s="241"/>
      <c r="E55" s="241"/>
      <c r="F55" s="242">
        <f>AVERAGE(F54:I54)</f>
        <v>17.75</v>
      </c>
      <c r="G55" s="242"/>
      <c r="H55" s="242"/>
      <c r="I55" s="242"/>
      <c r="J55" s="246">
        <f>AVERAGE(J54:M54)</f>
        <v>17.3</v>
      </c>
      <c r="K55" s="246"/>
      <c r="L55" s="246"/>
      <c r="M55" s="246"/>
    </row>
    <row r="56" spans="1:18" x14ac:dyDescent="0.35">
      <c r="A56" s="33" t="s">
        <v>306</v>
      </c>
      <c r="B56" s="17">
        <v>21.59</v>
      </c>
      <c r="C56" s="17">
        <v>23.4</v>
      </c>
      <c r="D56" s="17">
        <v>23.62</v>
      </c>
      <c r="E56" s="17">
        <v>23.09</v>
      </c>
      <c r="F56" s="17">
        <v>22.16</v>
      </c>
      <c r="G56" s="17">
        <v>22.13</v>
      </c>
      <c r="H56" s="17">
        <v>22.46</v>
      </c>
      <c r="I56" s="17">
        <v>22.18</v>
      </c>
      <c r="J56" s="17">
        <v>21.97</v>
      </c>
      <c r="K56" s="17">
        <v>22.32</v>
      </c>
      <c r="L56" s="17">
        <v>22.62</v>
      </c>
      <c r="M56" s="17">
        <v>22.36</v>
      </c>
    </row>
    <row r="57" spans="1:18" x14ac:dyDescent="0.35">
      <c r="A57" s="44" t="s">
        <v>305</v>
      </c>
      <c r="B57" s="241">
        <f>AVERAGE(B56:E56)</f>
        <v>22.925000000000001</v>
      </c>
      <c r="C57" s="241"/>
      <c r="D57" s="241"/>
      <c r="E57" s="241"/>
      <c r="F57" s="242">
        <f>AVERAGE(F56:I56)</f>
        <v>22.232500000000002</v>
      </c>
      <c r="G57" s="242"/>
      <c r="H57" s="242"/>
      <c r="I57" s="242"/>
      <c r="J57" s="246">
        <f>AVERAGE(J56:M56)</f>
        <v>22.317499999999999</v>
      </c>
      <c r="K57" s="246"/>
      <c r="L57" s="246"/>
      <c r="M57" s="246"/>
    </row>
    <row r="58" spans="1:18" x14ac:dyDescent="0.35">
      <c r="A58" s="33" t="s">
        <v>307</v>
      </c>
      <c r="B58" s="17">
        <v>19.059999999999999</v>
      </c>
      <c r="C58" s="17">
        <v>20.34</v>
      </c>
      <c r="D58" s="17">
        <v>20.3</v>
      </c>
      <c r="E58" s="17">
        <v>20.010000000000002</v>
      </c>
      <c r="F58" s="17">
        <v>19.14</v>
      </c>
      <c r="G58" s="17">
        <v>19.2</v>
      </c>
      <c r="H58" s="17">
        <v>19.600000000000001</v>
      </c>
      <c r="I58" s="17">
        <v>19.54</v>
      </c>
      <c r="J58" s="17">
        <v>19.55</v>
      </c>
      <c r="K58" s="17">
        <v>19.899999999999999</v>
      </c>
      <c r="L58" s="17">
        <v>20.36</v>
      </c>
      <c r="M58" s="17">
        <v>20.12</v>
      </c>
    </row>
    <row r="59" spans="1:18" x14ac:dyDescent="0.35">
      <c r="A59" s="44" t="s">
        <v>305</v>
      </c>
      <c r="B59" s="241">
        <f>AVERAGE(B58:E58)</f>
        <v>19.927500000000002</v>
      </c>
      <c r="C59" s="241"/>
      <c r="D59" s="241"/>
      <c r="E59" s="241"/>
      <c r="F59" s="242">
        <f t="shared" ref="F59" si="56">AVERAGE(F58:I58)</f>
        <v>19.37</v>
      </c>
      <c r="G59" s="242"/>
      <c r="H59" s="242"/>
      <c r="I59" s="242"/>
      <c r="J59" s="246">
        <f t="shared" ref="J59" si="57">AVERAGE(J58:M58)</f>
        <v>19.982500000000002</v>
      </c>
      <c r="K59" s="246"/>
      <c r="L59" s="246"/>
      <c r="M59" s="246"/>
    </row>
    <row r="61" spans="1:18" x14ac:dyDescent="0.35">
      <c r="A61" s="21" t="s">
        <v>46</v>
      </c>
    </row>
    <row r="62" spans="1:18" ht="29" x14ac:dyDescent="0.35">
      <c r="A62" s="95" t="s">
        <v>308</v>
      </c>
      <c r="B62" s="96" t="s">
        <v>309</v>
      </c>
      <c r="C62" s="97"/>
      <c r="D62" s="97"/>
      <c r="E62" s="97"/>
      <c r="F62" s="97"/>
      <c r="G62" s="97"/>
      <c r="H62" s="97"/>
      <c r="I62" s="97"/>
      <c r="J62" s="98"/>
    </row>
    <row r="63" spans="1:18" ht="48.65" customHeight="1" x14ac:dyDescent="0.35">
      <c r="A63" s="99" t="s">
        <v>310</v>
      </c>
      <c r="B63" s="240" t="s">
        <v>355</v>
      </c>
      <c r="C63" s="240"/>
      <c r="D63" s="240"/>
      <c r="E63" s="240"/>
      <c r="F63" s="240"/>
      <c r="G63" s="240"/>
      <c r="H63" s="100"/>
      <c r="I63" s="101"/>
      <c r="J63" s="102"/>
    </row>
    <row r="64" spans="1:18" x14ac:dyDescent="0.35">
      <c r="A64" s="37" t="s">
        <v>311</v>
      </c>
      <c r="J64" s="38"/>
    </row>
    <row r="65" spans="1:10" x14ac:dyDescent="0.35">
      <c r="A65" s="44" t="s">
        <v>312</v>
      </c>
      <c r="B65" s="45"/>
      <c r="C65" s="45"/>
      <c r="D65" s="45"/>
      <c r="E65" s="45"/>
      <c r="F65" s="45"/>
      <c r="G65" s="45"/>
      <c r="H65" s="45"/>
      <c r="I65" s="45"/>
      <c r="J65" s="46"/>
    </row>
  </sheetData>
  <mergeCells count="20">
    <mergeCell ref="A28:A30"/>
    <mergeCell ref="A33:A35"/>
    <mergeCell ref="A39:A41"/>
    <mergeCell ref="B22:D24"/>
    <mergeCell ref="B52:E52"/>
    <mergeCell ref="A43:A44"/>
    <mergeCell ref="A45:A46"/>
    <mergeCell ref="A47:A48"/>
    <mergeCell ref="B63:G63"/>
    <mergeCell ref="B57:E57"/>
    <mergeCell ref="F57:I57"/>
    <mergeCell ref="F52:I52"/>
    <mergeCell ref="J57:M57"/>
    <mergeCell ref="B59:E59"/>
    <mergeCell ref="F59:I59"/>
    <mergeCell ref="J59:M59"/>
    <mergeCell ref="J52:M52"/>
    <mergeCell ref="B55:E55"/>
    <mergeCell ref="F55:I55"/>
    <mergeCell ref="J55:M55"/>
  </mergeCells>
  <phoneticPr fontId="1" type="noConversion"/>
  <hyperlinks>
    <hyperlink ref="B22" r:id="rId1" xr:uid="{F1066932-BEAB-4D5A-8E46-47658568D309}"/>
    <hyperlink ref="B7" r:id="rId2" xr:uid="{BDA54D83-3F62-4454-92A2-D05E016EA9AB}"/>
    <hyperlink ref="B62" r:id="rId3" xr:uid="{663B6C7A-33EF-46B9-BE67-4F9548BC4743}"/>
    <hyperlink ref="B63" r:id="rId4" xr:uid="{2E21C99D-674A-435D-9942-1D787121004E}"/>
    <hyperlink ref="B8" r:id="rId5" xr:uid="{7B76D7C6-9D7D-4DCB-BDEA-AC3A9A675864}"/>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35DC-F826-4A85-A335-D8C0CA32E1D2}">
  <dimension ref="A1:AK14"/>
  <sheetViews>
    <sheetView workbookViewId="0">
      <selection activeCell="A12" sqref="A12:A14"/>
    </sheetView>
  </sheetViews>
  <sheetFormatPr defaultColWidth="8.54296875" defaultRowHeight="14.5" x14ac:dyDescent="0.35"/>
  <cols>
    <col min="1" max="1" width="60.54296875" style="12" customWidth="1"/>
    <col min="2" max="16384" width="8.54296875" style="12"/>
  </cols>
  <sheetData>
    <row r="1" spans="1:37" ht="18.5" x14ac:dyDescent="0.45">
      <c r="A1" s="50" t="s">
        <v>313</v>
      </c>
      <c r="B1" s="49"/>
      <c r="C1" s="49"/>
    </row>
    <row r="3" spans="1:37" x14ac:dyDescent="0.35">
      <c r="A3" s="94" t="s">
        <v>314</v>
      </c>
    </row>
    <row r="4" spans="1:37" x14ac:dyDescent="0.35">
      <c r="A4" s="17" t="s">
        <v>315</v>
      </c>
    </row>
    <row r="5" spans="1:37" x14ac:dyDescent="0.35">
      <c r="A5" s="17" t="s">
        <v>13</v>
      </c>
    </row>
    <row r="6" spans="1:37" x14ac:dyDescent="0.35">
      <c r="A6" s="17" t="s">
        <v>316</v>
      </c>
    </row>
    <row r="8" spans="1:37" x14ac:dyDescent="0.35">
      <c r="A8" s="94" t="s">
        <v>317</v>
      </c>
      <c r="B8" s="47" cm="1">
        <f t="array" ref="B8:U8">years</f>
        <v>2018</v>
      </c>
      <c r="C8" s="47">
        <v>2019</v>
      </c>
      <c r="D8" s="47">
        <v>2020</v>
      </c>
      <c r="E8" s="47">
        <v>2021</v>
      </c>
      <c r="F8" s="47">
        <v>2022</v>
      </c>
      <c r="G8" s="47">
        <v>2023</v>
      </c>
      <c r="H8" s="47">
        <v>2024</v>
      </c>
      <c r="I8" s="47">
        <v>2025</v>
      </c>
      <c r="J8" s="47">
        <v>2026</v>
      </c>
      <c r="K8" s="47">
        <v>2027</v>
      </c>
      <c r="L8" s="47">
        <v>2028</v>
      </c>
      <c r="M8" s="47">
        <v>2029</v>
      </c>
      <c r="N8" s="47">
        <v>2030</v>
      </c>
      <c r="O8" s="47">
        <v>2031</v>
      </c>
      <c r="P8" s="47">
        <v>2032</v>
      </c>
      <c r="Q8" s="47">
        <v>2033</v>
      </c>
      <c r="R8" s="47">
        <v>2034</v>
      </c>
      <c r="S8" s="47">
        <v>2035</v>
      </c>
      <c r="T8" s="47">
        <v>2036</v>
      </c>
      <c r="U8" s="47">
        <v>2037</v>
      </c>
      <c r="V8" s="21"/>
      <c r="W8" s="21"/>
      <c r="X8" s="21"/>
      <c r="Y8" s="21"/>
      <c r="Z8" s="21"/>
      <c r="AA8" s="21"/>
      <c r="AB8" s="21"/>
      <c r="AC8" s="21"/>
      <c r="AD8" s="21"/>
      <c r="AE8" s="21"/>
      <c r="AF8" s="21"/>
      <c r="AG8" s="21"/>
      <c r="AH8" s="21"/>
      <c r="AI8" s="21"/>
      <c r="AJ8" s="21"/>
      <c r="AK8" s="21"/>
    </row>
    <row r="11" spans="1:37" x14ac:dyDescent="0.35">
      <c r="A11" s="182" t="s">
        <v>322</v>
      </c>
    </row>
    <row r="12" spans="1:37" x14ac:dyDescent="0.35">
      <c r="A12" s="183" t="s">
        <v>321</v>
      </c>
    </row>
    <row r="13" spans="1:37" x14ac:dyDescent="0.35">
      <c r="A13" s="183" t="s">
        <v>323</v>
      </c>
    </row>
    <row r="14" spans="1:37" x14ac:dyDescent="0.35">
      <c r="A14" s="183" t="s">
        <v>324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CE6C6-5D5A-446A-A8D5-2A716574E68F}">
  <sheetPr>
    <tabColor theme="3" tint="0.79998168889431442"/>
  </sheetPr>
  <dimension ref="B2"/>
  <sheetViews>
    <sheetView workbookViewId="0">
      <selection activeCell="B2" sqref="B2"/>
    </sheetView>
  </sheetViews>
  <sheetFormatPr defaultColWidth="8.54296875" defaultRowHeight="14.5" x14ac:dyDescent="0.35"/>
  <cols>
    <col min="1" max="16384" width="8.54296875" style="12"/>
  </cols>
  <sheetData>
    <row r="2" spans="2:2" x14ac:dyDescent="0.35">
      <c r="B2" s="12" t="s">
        <v>174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AF15-D4BD-441F-B10C-B7888ACE4A2B}">
  <dimension ref="A1:S39"/>
  <sheetViews>
    <sheetView workbookViewId="0">
      <selection activeCell="G14" sqref="G14"/>
    </sheetView>
  </sheetViews>
  <sheetFormatPr defaultColWidth="15.54296875" defaultRowHeight="14.5" x14ac:dyDescent="0.35"/>
  <cols>
    <col min="1" max="1" width="45.54296875" style="18" customWidth="1"/>
    <col min="2" max="16384" width="15.54296875" style="18"/>
  </cols>
  <sheetData>
    <row r="1" spans="1:19" ht="18.5" x14ac:dyDescent="0.45">
      <c r="A1" s="89" t="s">
        <v>318</v>
      </c>
      <c r="B1" s="93"/>
      <c r="C1" s="92"/>
      <c r="D1" s="92"/>
      <c r="E1" s="92"/>
      <c r="F1" s="92"/>
      <c r="G1" s="92"/>
      <c r="H1" s="92"/>
      <c r="I1" s="92"/>
      <c r="J1" s="92"/>
      <c r="K1" s="92"/>
      <c r="L1" s="92"/>
      <c r="M1" s="92"/>
      <c r="N1" s="92"/>
      <c r="O1" s="92"/>
      <c r="P1" s="92"/>
      <c r="Q1" s="92"/>
      <c r="R1" s="92"/>
      <c r="S1" s="92"/>
    </row>
    <row r="3" spans="1:19" x14ac:dyDescent="0.35">
      <c r="A3" s="18" t="s">
        <v>319</v>
      </c>
      <c r="F3" s="92"/>
      <c r="G3" s="92"/>
      <c r="H3" s="92"/>
      <c r="I3" s="92"/>
      <c r="J3" s="92"/>
      <c r="K3" s="92"/>
      <c r="L3" s="92"/>
      <c r="M3" s="92"/>
    </row>
    <row r="5" spans="1:19" x14ac:dyDescent="0.35">
      <c r="P5" s="115"/>
      <c r="Q5" s="115"/>
    </row>
    <row r="6" spans="1:19" x14ac:dyDescent="0.35">
      <c r="P6" s="115"/>
      <c r="Q6" s="115"/>
    </row>
    <row r="7" spans="1:19" x14ac:dyDescent="0.35">
      <c r="P7" s="115"/>
      <c r="Q7" s="115"/>
    </row>
    <row r="8" spans="1:19" x14ac:dyDescent="0.35">
      <c r="P8" s="115"/>
      <c r="Q8" s="115"/>
    </row>
    <row r="9" spans="1:19" x14ac:dyDescent="0.35">
      <c r="P9" s="115"/>
      <c r="Q9" s="115"/>
    </row>
    <row r="10" spans="1:19" x14ac:dyDescent="0.35">
      <c r="P10" s="115"/>
      <c r="Q10" s="115"/>
    </row>
    <row r="11" spans="1:19" x14ac:dyDescent="0.35">
      <c r="P11" s="115"/>
      <c r="Q11" s="115"/>
    </row>
    <row r="12" spans="1:19" x14ac:dyDescent="0.35">
      <c r="P12" s="115"/>
      <c r="Q12" s="115"/>
    </row>
    <row r="13" spans="1:19" x14ac:dyDescent="0.35">
      <c r="P13" s="115"/>
      <c r="Q13" s="115"/>
    </row>
    <row r="14" spans="1:19" x14ac:dyDescent="0.35">
      <c r="P14" s="115"/>
      <c r="Q14" s="115"/>
    </row>
    <row r="15" spans="1:19" x14ac:dyDescent="0.35">
      <c r="P15" s="115"/>
      <c r="Q15" s="115"/>
    </row>
    <row r="16" spans="1:19" x14ac:dyDescent="0.35">
      <c r="P16" s="115"/>
      <c r="Q16" s="115"/>
    </row>
    <row r="17" spans="1:17" x14ac:dyDescent="0.35">
      <c r="P17" s="115"/>
      <c r="Q17" s="115"/>
    </row>
    <row r="18" spans="1:17" x14ac:dyDescent="0.35">
      <c r="P18" s="115"/>
      <c r="Q18" s="115"/>
    </row>
    <row r="19" spans="1:17" x14ac:dyDescent="0.35">
      <c r="P19" s="115"/>
      <c r="Q19" s="115"/>
    </row>
    <row r="20" spans="1:17" x14ac:dyDescent="0.35">
      <c r="P20" s="115"/>
      <c r="Q20" s="115"/>
    </row>
    <row r="21" spans="1:17" x14ac:dyDescent="0.35">
      <c r="P21" s="115"/>
      <c r="Q21" s="115"/>
    </row>
    <row r="22" spans="1:17" x14ac:dyDescent="0.35">
      <c r="P22" s="115"/>
      <c r="Q22" s="115"/>
    </row>
    <row r="23" spans="1:17" x14ac:dyDescent="0.35">
      <c r="P23" s="115"/>
      <c r="Q23" s="115"/>
    </row>
    <row r="24" spans="1:17" x14ac:dyDescent="0.35">
      <c r="P24" s="115"/>
      <c r="Q24" s="115"/>
    </row>
    <row r="25" spans="1:17" x14ac:dyDescent="0.35">
      <c r="P25" s="115"/>
      <c r="Q25" s="115"/>
    </row>
    <row r="26" spans="1:17" x14ac:dyDescent="0.35">
      <c r="P26" s="115"/>
      <c r="Q26" s="115"/>
    </row>
    <row r="27" spans="1:17" x14ac:dyDescent="0.35">
      <c r="P27" s="115"/>
      <c r="Q27" s="115"/>
    </row>
    <row r="30" spans="1:17" x14ac:dyDescent="0.35">
      <c r="A30" s="116"/>
      <c r="B30" s="117"/>
      <c r="C30" s="117"/>
      <c r="D30" s="117"/>
      <c r="E30" s="117"/>
    </row>
    <row r="31" spans="1:17" x14ac:dyDescent="0.35">
      <c r="A31" s="116"/>
      <c r="B31" s="118"/>
      <c r="C31" s="118"/>
      <c r="D31" s="118"/>
      <c r="E31" s="119"/>
    </row>
    <row r="32" spans="1:17" x14ac:dyDescent="0.35">
      <c r="A32" s="116"/>
      <c r="B32" s="118"/>
      <c r="C32" s="118"/>
      <c r="D32" s="119"/>
      <c r="E32" s="119"/>
    </row>
    <row r="33" spans="1:5" x14ac:dyDescent="0.35">
      <c r="A33" s="116"/>
      <c r="B33" s="118"/>
      <c r="C33" s="118"/>
      <c r="D33" s="118"/>
      <c r="E33" s="119"/>
    </row>
    <row r="35" spans="1:5" x14ac:dyDescent="0.35">
      <c r="A35" s="116"/>
      <c r="B35" s="66"/>
      <c r="C35" s="66"/>
      <c r="D35" s="66"/>
      <c r="E35" s="120"/>
    </row>
    <row r="36" spans="1:5" x14ac:dyDescent="0.35">
      <c r="A36" s="116"/>
      <c r="B36" s="121"/>
      <c r="D36" s="122"/>
      <c r="E36" s="123"/>
    </row>
    <row r="37" spans="1:5" x14ac:dyDescent="0.35">
      <c r="A37" s="116"/>
      <c r="B37" s="121"/>
      <c r="D37" s="122"/>
      <c r="E37" s="123"/>
    </row>
    <row r="38" spans="1:5" x14ac:dyDescent="0.35">
      <c r="A38" s="116"/>
      <c r="B38" s="121"/>
      <c r="D38" s="122"/>
      <c r="E38" s="123"/>
    </row>
    <row r="39" spans="1:5" x14ac:dyDescent="0.35">
      <c r="A39" s="116"/>
      <c r="E39" s="1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f41275d-bc04-4c78-833e-8c65094cedc0">
      <Terms xmlns="http://schemas.microsoft.com/office/infopath/2007/PartnerControls"/>
    </lcf76f155ced4ddcb4097134ff3c332f>
    <TaxCatchAll xmlns="273ff822-d9a1-415a-8e5f-f24c0634255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67E4670575D9E43A0D0956D52CCF417" ma:contentTypeVersion="12" ma:contentTypeDescription="Create a new document." ma:contentTypeScope="" ma:versionID="67479ddbe38d0a1bd01a8a4f4a943bf5">
  <xsd:schema xmlns:xsd="http://www.w3.org/2001/XMLSchema" xmlns:xs="http://www.w3.org/2001/XMLSchema" xmlns:p="http://schemas.microsoft.com/office/2006/metadata/properties" xmlns:ns2="cf41275d-bc04-4c78-833e-8c65094cedc0" xmlns:ns3="273ff822-d9a1-415a-8e5f-f24c06342558" targetNamespace="http://schemas.microsoft.com/office/2006/metadata/properties" ma:root="true" ma:fieldsID="107c357e1c823b2e9e83ddfdfe86cc03" ns2:_="" ns3:_="">
    <xsd:import namespace="cf41275d-bc04-4c78-833e-8c65094cedc0"/>
    <xsd:import namespace="273ff822-d9a1-415a-8e5f-f24c0634255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41275d-bc04-4c78-833e-8c65094ced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991b503-1ffc-4999-8cb9-4dbaf7daa74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ff822-d9a1-415a-8e5f-f24c0634255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5fd7001-2bb6-4d82-8ba0-4fb415e24511}" ma:internalName="TaxCatchAll" ma:showField="CatchAllData" ma:web="273ff822-d9a1-415a-8e5f-f24c0634255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D10714-072B-446D-8720-B923576B2C49}">
  <ds:schemaRefs>
    <ds:schemaRef ds:uri="http://schemas.microsoft.com/sharepoint/v3/contenttype/forms"/>
  </ds:schemaRefs>
</ds:datastoreItem>
</file>

<file path=customXml/itemProps2.xml><?xml version="1.0" encoding="utf-8"?>
<ds:datastoreItem xmlns:ds="http://schemas.openxmlformats.org/officeDocument/2006/customXml" ds:itemID="{649409F9-AED0-4342-B9DD-E491DD25AAA7}">
  <ds:schemaRefs>
    <ds:schemaRef ds:uri="http://schemas.microsoft.com/office/2006/metadata/properties"/>
    <ds:schemaRef ds:uri="http://schemas.microsoft.com/office/infopath/2007/PartnerControls"/>
    <ds:schemaRef ds:uri="cf41275d-bc04-4c78-833e-8c65094cedc0"/>
    <ds:schemaRef ds:uri="273ff822-d9a1-415a-8e5f-f24c06342558"/>
  </ds:schemaRefs>
</ds:datastoreItem>
</file>

<file path=customXml/itemProps3.xml><?xml version="1.0" encoding="utf-8"?>
<ds:datastoreItem xmlns:ds="http://schemas.openxmlformats.org/officeDocument/2006/customXml" ds:itemID="{B0518B50-D1F5-44ED-89AD-0B1311564F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41275d-bc04-4c78-833e-8c65094cedc0"/>
    <ds:schemaRef ds:uri="273ff822-d9a1-415a-8e5f-f24c063425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91</vt:i4>
      </vt:variant>
    </vt:vector>
  </HeadingPairs>
  <TitlesOfParts>
    <vt:vector size="114" baseType="lpstr">
      <vt:lpstr>Summary</vt:lpstr>
      <vt:lpstr>BU-LRIC plan</vt:lpstr>
      <vt:lpstr>1 Volumes</vt:lpstr>
      <vt:lpstr>2 Dimensioning</vt:lpstr>
      <vt:lpstr>3 Network demand</vt:lpstr>
      <vt:lpstr>4 Cost - capital</vt:lpstr>
      <vt:lpstr>5 Cost - opex</vt:lpstr>
      <vt:lpstr>6 - Termination</vt:lpstr>
      <vt:lpstr>Core network details &gt;&gt;&gt;&gt;</vt:lpstr>
      <vt:lpstr>Core costs</vt:lpstr>
      <vt:lpstr>Calibration&gt;&gt;&gt;&gt;</vt:lpstr>
      <vt:lpstr>Assets - HCA</vt:lpstr>
      <vt:lpstr>Revenues, costs</vt:lpstr>
      <vt:lpstr>Volumes details &gt;&gt;&gt;&gt;</vt:lpstr>
      <vt:lpstr>Volume projections</vt:lpstr>
      <vt:lpstr>State of ICT sector</vt:lpstr>
      <vt:lpstr>ITU</vt:lpstr>
      <vt:lpstr>Additional inputs &gt;&gt;&gt;&gt;</vt:lpstr>
      <vt:lpstr>Financial Inputs</vt:lpstr>
      <vt:lpstr>Macroeconomic data</vt:lpstr>
      <vt:lpstr>Lists</vt:lpstr>
      <vt:lpstr>Operator data &gt;&gt;&gt;&gt;&gt;&gt;</vt:lpstr>
      <vt:lpstr>Operator - Confidential</vt:lpstr>
      <vt:lpstr>access_sbc_hardware</vt:lpstr>
      <vt:lpstr>access_sbc_software</vt:lpstr>
      <vt:lpstr>as_hardware</vt:lpstr>
      <vt:lpstr>as_software</vt:lpstr>
      <vt:lpstr>busy_hour_call_attempts</vt:lpstr>
      <vt:lpstr>busy_hour_call_attempts_noincoming</vt:lpstr>
      <vt:lpstr>busy_hour_perc</vt:lpstr>
      <vt:lpstr>capex_price_index</vt:lpstr>
      <vt:lpstr>capex_price_trend</vt:lpstr>
      <vt:lpstr>capex_revenues</vt:lpstr>
      <vt:lpstr>capex_tariff</vt:lpstr>
      <vt:lpstr>cdf_hardware</vt:lpstr>
      <vt:lpstr>cdf_software</vt:lpstr>
      <vt:lpstr>core_costs_capex</vt:lpstr>
      <vt:lpstr>core_costs_capex_discounted</vt:lpstr>
      <vt:lpstr>core_costs_capex_discounted_pv</vt:lpstr>
      <vt:lpstr>core_costs_incoming_only_discounted_pv</vt:lpstr>
      <vt:lpstr>core_costs_incomingonly</vt:lpstr>
      <vt:lpstr>core_costs_noincoming</vt:lpstr>
      <vt:lpstr>core_costs_opex</vt:lpstr>
      <vt:lpstr>core_costs_opex_discounted</vt:lpstr>
      <vt:lpstr>core_costs_opex_discounted_pv</vt:lpstr>
      <vt:lpstr>core_costs_opex_incoming_only</vt:lpstr>
      <vt:lpstr>core_costs_opex_incomingonly_discounted_pv</vt:lpstr>
      <vt:lpstr>core_costs_opex_noincoming</vt:lpstr>
      <vt:lpstr>core_elements</vt:lpstr>
      <vt:lpstr>core_increm_capex</vt:lpstr>
      <vt:lpstr>core_increm_incoming_only_capex</vt:lpstr>
      <vt:lpstr>core_increm_noincoming_capex</vt:lpstr>
      <vt:lpstr>core_number_incoming_only_opex</vt:lpstr>
      <vt:lpstr>core_number_noincoming_voice_opex</vt:lpstr>
      <vt:lpstr>core_number_opex</vt:lpstr>
      <vt:lpstr>core_unit_opex</vt:lpstr>
      <vt:lpstr>currency_scenario</vt:lpstr>
      <vt:lpstr>debt_perc</vt:lpstr>
      <vt:lpstr>Depreciation_straightline</vt:lpstr>
      <vt:lpstr>fixed_calls_per_hour</vt:lpstr>
      <vt:lpstr>fixed_calls_per_hour_noincoming</vt:lpstr>
      <vt:lpstr>fixed_calls_per_hour_onnet_factor</vt:lpstr>
      <vt:lpstr>fixed_calls_per_hour_onnet_factor_noincoming</vt:lpstr>
      <vt:lpstr>fixed_calls_persecond</vt:lpstr>
      <vt:lpstr>fixed_calls_persecond_noincoming</vt:lpstr>
      <vt:lpstr>fixed_calls_persecond_onnet_factor</vt:lpstr>
      <vt:lpstr>fixed_calls_persecond_onnet_factor_noincoming</vt:lpstr>
      <vt:lpstr>fixed_calls_service</vt:lpstr>
      <vt:lpstr>fixed_calls_service_onnet_factor</vt:lpstr>
      <vt:lpstr>fixed_minutes</vt:lpstr>
      <vt:lpstr>fixed_minutes_busy_hour</vt:lpstr>
      <vt:lpstr>fixed_minutes_busy_hour_onnet_factor</vt:lpstr>
      <vt:lpstr>fixed_minutes_incoming</vt:lpstr>
      <vt:lpstr>fixed_services</vt:lpstr>
      <vt:lpstr>growth_scenarios</vt:lpstr>
      <vt:lpstr>idle_time</vt:lpstr>
      <vt:lpstr>inflation</vt:lpstr>
      <vt:lpstr>interr_cscf_hardware</vt:lpstr>
      <vt:lpstr>interr_cscf_software</vt:lpstr>
      <vt:lpstr>ix_sbc_hardware</vt:lpstr>
      <vt:lpstr>ix_sbc_software</vt:lpstr>
      <vt:lpstr>lric_revenues</vt:lpstr>
      <vt:lpstr>max_load</vt:lpstr>
      <vt:lpstr>mins_call</vt:lpstr>
      <vt:lpstr>mins_hour</vt:lpstr>
      <vt:lpstr>mrf_hardware</vt:lpstr>
      <vt:lpstr>mrf_software</vt:lpstr>
      <vt:lpstr>non_homo_fixed</vt:lpstr>
      <vt:lpstr>onnet_factor</vt:lpstr>
      <vt:lpstr>opex_factor_index</vt:lpstr>
      <vt:lpstr>opex_price_index</vt:lpstr>
      <vt:lpstr>opex_revenues</vt:lpstr>
      <vt:lpstr>opex_tariff</vt:lpstr>
      <vt:lpstr>proxy_cscf_hardware</vt:lpstr>
      <vt:lpstr>proxy_cscf_software</vt:lpstr>
      <vt:lpstr>pure_lric</vt:lpstr>
      <vt:lpstr>pv_capex_volumes</vt:lpstr>
      <vt:lpstr>pv_opex_volumes</vt:lpstr>
      <vt:lpstr>redundancy</vt:lpstr>
      <vt:lpstr>sec_minute</vt:lpstr>
      <vt:lpstr>serve_cscf_hardware</vt:lpstr>
      <vt:lpstr>serve_cscf_software</vt:lpstr>
      <vt:lpstr>share_operator</vt:lpstr>
      <vt:lpstr>time_index</vt:lpstr>
      <vt:lpstr>total_costs_core_capex</vt:lpstr>
      <vt:lpstr>total_costs_core_opex</vt:lpstr>
      <vt:lpstr>unit_costs_core_capex</vt:lpstr>
      <vt:lpstr>unit_costs_core_opex</vt:lpstr>
      <vt:lpstr>unsuccessful_calls_perc</vt:lpstr>
      <vt:lpstr>volume_ed_capex</vt:lpstr>
      <vt:lpstr>volume_ed_opex</vt:lpstr>
      <vt:lpstr>wacc_index</vt:lpstr>
      <vt:lpstr>wacc_nom_pretax</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Hawthorne</dc:creator>
  <cp:keywords/>
  <dc:description/>
  <cp:lastModifiedBy>Ryan Hawthorne</cp:lastModifiedBy>
  <cp:revision/>
  <dcterms:created xsi:type="dcterms:W3CDTF">2022-04-26T08:04:10Z</dcterms:created>
  <dcterms:modified xsi:type="dcterms:W3CDTF">2024-07-02T09:54:11Z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0x010100D67E4670575D9E43A0D0956D52CCF417</vt:lpwstr>
  </property>
  <property fmtid="{D5CDD505-2E9C-101B-9397-08002B2CF9AE}" pid="3" name="MediaServiceImageTags">
    <vt:lpwstr/>
  </property>
</Properties>
</file>